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7"/>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 name="Áreas e Produtividade" sheetId="30" r:id="rId7"/>
    <sheet name="Valor Total" sheetId="32" r:id="rId8"/>
  </sheets>
  <externalReferences>
    <externalReference r:id="rId27"/>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5.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<sst xmlns="http://schemas.openxmlformats.org/spreadsheetml/2006/main" count="1181" uniqueCount="364">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</sst>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0.0000"/>
    <numFmt numFmtId="177" formatCode="0_);[Red]\(0\)"/>
    <numFmt numFmtId="178" formatCode="_-* #,##0.00_-;\-* #,##0.00_-;_-* &quot;-&quot;??_-;_-@_-"/>
    <numFmt numFmtId="179" formatCode="&quot;R$&quot;\ #,##0.00"/>
    <numFmt numFmtId="180" formatCode="&quot;R$&quot;#,##0.00"/>
    <numFmt numFmtId="181" formatCode="&quot;R$&quot;\ #,##0.00_);[Red]\(&quot;R$&quot;\ #,##0.00\)"/>
    <numFmt numFmtId="182" formatCode="_-&quot;R$&quot;\ * #,##0.00_-;\-&quot;R$&quot;\ * #,##0.00_-;_-&quot;R$&quot;\ * &quot;-&quot;??_-;_-@_-"/>
    <numFmt numFmtId="183" formatCode="&quot;R$&quot;#,##0.00_);[Red]&quot;(R$&quot;#,##0.00\)"/>
    <numFmt numFmtId="184" formatCode="_-* #,##0_-;\-* #,##0_-;_-* &quot;-&quot;_-;_-@_-"/>
    <numFmt numFmtId="185" formatCode="0.0000_ "/>
    <numFmt numFmtId="186" formatCode="_-&quot;R$&quot;* #,##0_-;\-&quot;R$&quot;* #,##0_-;_-&quot;R$&quot;* &quot;-&quot;_-;_-@_-"/>
  </numFmts>
  <fonts count="37">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3F3F76"/>
      <name val="Calibri"/>
      <charset val="0"/>
      <scheme val="minor"/>
    </font>
    <font>
      <b/>
      <sz val="13"/>
      <color theme="3"/>
      <name val="Calibri"/>
      <charset val="134"/>
      <scheme val="minor"/>
    </font>
    <font>
      <sz val="11"/>
      <color rgb="FFFF0000"/>
      <name val="Calibri"/>
      <charset val="0"/>
      <scheme val="minor"/>
    </font>
    <font>
      <sz val="10"/>
      <color theme="1"/>
      <name val="Calibri"/>
      <charset val="134"/>
      <scheme val="minor"/>
    </font>
    <font>
      <sz val="11"/>
      <color theme="0"/>
      <name val="Calibri"/>
      <charset val="0"/>
      <scheme val="minor"/>
    </font>
    <font>
      <b/>
      <sz val="11"/>
      <color rgb="FFFFFFFF"/>
      <name val="Calibri"/>
      <charset val="0"/>
      <scheme val="minor"/>
    </font>
    <font>
      <b/>
      <sz val="15"/>
      <color theme="3"/>
      <name val="Calibri"/>
      <charset val="134"/>
      <scheme val="minor"/>
    </font>
    <font>
      <sz val="11"/>
      <color rgb="FFFA7D00"/>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sz val="11"/>
      <color rgb="FF9C6500"/>
      <name val="Calibri"/>
      <charset val="0"/>
      <scheme val="minor"/>
    </font>
    <font>
      <b/>
      <sz val="11"/>
      <color theme="1"/>
      <name val="Calibri"/>
      <charset val="0"/>
      <scheme val="minor"/>
    </font>
    <font>
      <b/>
      <sz val="11"/>
      <color rgb="FFFA7D00"/>
      <name val="Calibri"/>
      <charset val="0"/>
      <scheme val="minor"/>
    </font>
    <font>
      <b/>
      <sz val="18"/>
      <color theme="3"/>
      <name val="Calibri"/>
      <charset val="134"/>
      <scheme val="minor"/>
    </font>
    <font>
      <u/>
      <sz val="11"/>
      <color rgb="FF0000FF"/>
      <name val="Calibri"/>
      <charset val="0"/>
      <scheme val="minor"/>
    </font>
    <font>
      <sz val="11"/>
      <color rgb="FF006100"/>
      <name val="Calibri"/>
      <charset val="0"/>
      <scheme val="minor"/>
    </font>
    <font>
      <b/>
      <sz val="11"/>
      <color rgb="FF3F3F3F"/>
      <name val="Calibri"/>
      <charset val="0"/>
      <scheme val="minor"/>
    </font>
    <font>
      <sz val="11"/>
      <color rgb="FF9C0006"/>
      <name val="Calibri"/>
      <charset val="0"/>
      <scheme val="minor"/>
    </font>
    <font>
      <sz val="11"/>
      <color indexed="8"/>
      <name val="Calibri"/>
      <charset val="0"/>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5" tint="0.399975585192419"/>
        <bgColor indexed="64"/>
      </patternFill>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6" tint="0.599993896298105"/>
        <bgColor indexed="64"/>
      </patternFill>
    </fill>
    <fill>
      <patternFill patternType="solid">
        <fgColor theme="4" tint="0.799981688894314"/>
        <bgColor indexed="64"/>
      </patternFill>
    </fill>
    <fill>
      <patternFill patternType="solid">
        <fgColor rgb="FFFFCC99"/>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bgColor indexed="64"/>
      </patternFill>
    </fill>
    <fill>
      <patternFill patternType="solid">
        <fgColor rgb="FFFFFFCC"/>
        <bgColor indexed="64"/>
      </patternFill>
    </fill>
    <fill>
      <patternFill patternType="solid">
        <fgColor theme="7" tint="0.599993896298105"/>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theme="7"/>
        <bgColor indexed="64"/>
      </patternFill>
    </fill>
    <fill>
      <patternFill patternType="solid">
        <fgColor theme="6" tint="0.399975585192419"/>
        <bgColor indexed="64"/>
      </patternFill>
    </fill>
    <fill>
      <patternFill patternType="solid">
        <fgColor theme="8"/>
        <bgColor indexed="64"/>
      </patternFill>
    </fill>
    <fill>
      <patternFill patternType="solid">
        <fgColor theme="9" tint="0.799981688894314"/>
        <bgColor indexed="64"/>
      </patternFill>
    </fill>
    <fill>
      <patternFill patternType="solid">
        <fgColor theme="6" tint="0.799981688894314"/>
        <bgColor indexed="64"/>
      </patternFill>
    </fill>
    <fill>
      <patternFill patternType="solid">
        <fgColor rgb="FFFFEB9C"/>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rgb="FFC6EFCE"/>
        <bgColor indexed="64"/>
      </patternFill>
    </fill>
    <fill>
      <patternFill patternType="solid">
        <fgColor theme="6"/>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rgb="FFFFC7CE"/>
        <bgColor indexed="64"/>
      </patternFill>
    </fill>
    <fill>
      <patternFill patternType="solid">
        <fgColor theme="9" tint="0.399975585192419"/>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178" fontId="0" fillId="0" borderId="0" applyFont="0" applyFill="0" applyBorder="0" applyAlignment="0" applyProtection="0"/>
    <xf numFmtId="184" fontId="17" fillId="0" borderId="0" applyFont="0" applyFill="0" applyBorder="0" applyAlignment="0" applyProtection="0">
      <alignment vertical="center"/>
    </xf>
    <xf numFmtId="0" fontId="11" fillId="26" borderId="0" applyNumberFormat="0" applyBorder="0" applyAlignment="0" applyProtection="0">
      <alignment vertical="center"/>
    </xf>
    <xf numFmtId="9" fontId="0" fillId="0" borderId="0" applyFont="0" applyFill="0" applyBorder="0" applyAlignment="0" applyProtection="0"/>
    <xf numFmtId="0" fontId="21" fillId="0" borderId="26" applyNumberFormat="0" applyFill="0" applyAlignment="0" applyProtection="0">
      <alignment vertical="center"/>
    </xf>
    <xf numFmtId="0" fontId="19" fillId="22" borderId="24" applyNumberFormat="0" applyAlignment="0" applyProtection="0">
      <alignment vertical="center"/>
    </xf>
    <xf numFmtId="186" fontId="17" fillId="0" borderId="0" applyFont="0" applyFill="0" applyBorder="0" applyAlignment="0" applyProtection="0">
      <alignment vertical="center"/>
    </xf>
    <xf numFmtId="0" fontId="11" fillId="33" borderId="0" applyNumberFormat="0" applyBorder="0" applyAlignment="0" applyProtection="0">
      <alignment vertical="center"/>
    </xf>
    <xf numFmtId="182" fontId="0" fillId="0" borderId="0" applyFont="0" applyFill="0" applyBorder="0" applyAlignment="0" applyProtection="0"/>
    <xf numFmtId="0" fontId="24"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11" fillId="18" borderId="0" applyNumberFormat="0" applyBorder="0" applyAlignment="0" applyProtection="0">
      <alignment vertical="center"/>
    </xf>
    <xf numFmtId="0" fontId="17" fillId="25" borderId="25" applyNumberFormat="0" applyFont="0" applyAlignment="0" applyProtection="0">
      <alignment vertical="center"/>
    </xf>
    <xf numFmtId="0" fontId="11" fillId="36" borderId="0" applyNumberFormat="0" applyBorder="0" applyAlignment="0" applyProtection="0">
      <alignment vertical="center"/>
    </xf>
    <xf numFmtId="0" fontId="16"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8" fillId="39" borderId="0" applyNumberFormat="0" applyBorder="0" applyAlignment="0" applyProtection="0">
      <alignment vertical="center"/>
    </xf>
    <xf numFmtId="0" fontId="20" fillId="0" borderId="23" applyNumberFormat="0" applyFill="0" applyAlignment="0" applyProtection="0">
      <alignment vertical="center"/>
    </xf>
    <xf numFmtId="0" fontId="18" fillId="29" borderId="0" applyNumberFormat="0" applyBorder="0" applyAlignment="0" applyProtection="0">
      <alignment vertical="center"/>
    </xf>
    <xf numFmtId="0" fontId="15" fillId="0" borderId="23" applyNumberFormat="0" applyFill="0" applyAlignment="0" applyProtection="0">
      <alignment vertical="center"/>
    </xf>
    <xf numFmtId="0" fontId="18" fillId="31" borderId="0" applyNumberFormat="0" applyBorder="0" applyAlignment="0" applyProtection="0">
      <alignment vertical="center"/>
    </xf>
    <xf numFmtId="0" fontId="22" fillId="0" borderId="28" applyNumberFormat="0" applyFill="0" applyAlignment="0" applyProtection="0">
      <alignment vertical="center"/>
    </xf>
    <xf numFmtId="0" fontId="18" fillId="7" borderId="0" applyNumberFormat="0" applyBorder="0" applyAlignment="0" applyProtection="0">
      <alignment vertical="center"/>
    </xf>
    <xf numFmtId="0" fontId="22" fillId="0" borderId="0" applyNumberFormat="0" applyFill="0" applyBorder="0" applyAlignment="0" applyProtection="0">
      <alignment vertical="center"/>
    </xf>
    <xf numFmtId="0" fontId="14" fillId="17" borderId="22" applyNumberFormat="0" applyAlignment="0" applyProtection="0">
      <alignment vertical="center"/>
    </xf>
    <xf numFmtId="0" fontId="31" fillId="35" borderId="29" applyNumberFormat="0" applyAlignment="0" applyProtection="0">
      <alignment vertical="center"/>
    </xf>
    <xf numFmtId="0" fontId="27" fillId="35" borderId="22" applyNumberFormat="0" applyAlignment="0" applyProtection="0">
      <alignment vertical="center"/>
    </xf>
    <xf numFmtId="0" fontId="26" fillId="0" borderId="27" applyNumberFormat="0" applyFill="0" applyAlignment="0" applyProtection="0">
      <alignment vertical="center"/>
    </xf>
    <xf numFmtId="0" fontId="11" fillId="21" borderId="0" applyNumberFormat="0" applyBorder="0" applyAlignment="0" applyProtection="0">
      <alignment vertical="center"/>
    </xf>
    <xf numFmtId="0" fontId="30" fillId="38" borderId="0" applyNumberFormat="0" applyBorder="0" applyAlignment="0" applyProtection="0">
      <alignment vertical="center"/>
    </xf>
    <xf numFmtId="0" fontId="32" fillId="42" borderId="0" applyNumberFormat="0" applyBorder="0" applyAlignment="0" applyProtection="0">
      <alignment vertical="center"/>
    </xf>
    <xf numFmtId="0" fontId="25" fillId="34" borderId="0" applyNumberFormat="0" applyBorder="0" applyAlignment="0" applyProtection="0">
      <alignment vertical="center"/>
    </xf>
    <xf numFmtId="0" fontId="11" fillId="28" borderId="0" applyNumberFormat="0" applyBorder="0" applyAlignment="0" applyProtection="0">
      <alignment vertical="center"/>
    </xf>
    <xf numFmtId="0" fontId="18" fillId="20" borderId="0" applyNumberFormat="0" applyBorder="0" applyAlignment="0" applyProtection="0">
      <alignment vertical="center"/>
    </xf>
    <xf numFmtId="0" fontId="11" fillId="16" borderId="0" applyNumberFormat="0" applyBorder="0" applyAlignment="0" applyProtection="0">
      <alignment vertical="center"/>
    </xf>
    <xf numFmtId="0" fontId="18" fillId="27" borderId="0" applyNumberFormat="0" applyBorder="0" applyAlignment="0" applyProtection="0">
      <alignment vertical="center"/>
    </xf>
    <xf numFmtId="0" fontId="11" fillId="32" borderId="0" applyNumberFormat="0" applyBorder="0" applyAlignment="0" applyProtection="0">
      <alignment vertical="center"/>
    </xf>
    <xf numFmtId="0" fontId="18" fillId="24" borderId="0" applyNumberFormat="0" applyBorder="0" applyAlignment="0" applyProtection="0">
      <alignment vertical="center"/>
    </xf>
    <xf numFmtId="0" fontId="11" fillId="41" borderId="0" applyNumberFormat="0" applyBorder="0" applyAlignment="0" applyProtection="0">
      <alignment vertical="center"/>
    </xf>
    <xf numFmtId="0" fontId="18" fillId="2" borderId="0" applyNumberFormat="0" applyBorder="0" applyAlignment="0" applyProtection="0">
      <alignment vertical="center"/>
    </xf>
    <xf numFmtId="0" fontId="11" fillId="15" borderId="0" applyNumberFormat="0" applyBorder="0" applyAlignment="0" applyProtection="0">
      <alignment vertical="center"/>
    </xf>
    <xf numFmtId="0" fontId="33" fillId="0" borderId="0"/>
    <xf numFmtId="0" fontId="18" fillId="30" borderId="0" applyNumberFormat="0" applyBorder="0" applyAlignment="0" applyProtection="0">
      <alignment vertical="center"/>
    </xf>
    <xf numFmtId="0" fontId="11" fillId="40" borderId="0" applyNumberFormat="0" applyBorder="0" applyAlignment="0" applyProtection="0">
      <alignment vertical="center"/>
    </xf>
    <xf numFmtId="0" fontId="18" fillId="19" borderId="0" applyNumberFormat="0" applyBorder="0" applyAlignment="0" applyProtection="0">
      <alignment vertical="center"/>
    </xf>
    <xf numFmtId="0" fontId="11" fillId="37" borderId="0" applyNumberFormat="0" applyBorder="0" applyAlignment="0" applyProtection="0">
      <alignment vertical="center"/>
    </xf>
    <xf numFmtId="0" fontId="18" fillId="23" borderId="0" applyNumberFormat="0" applyBorder="0" applyAlignment="0" applyProtection="0">
      <alignment vertical="center"/>
    </xf>
    <xf numFmtId="0" fontId="18" fillId="43" borderId="0" applyNumberFormat="0" applyBorder="0" applyAlignment="0" applyProtection="0">
      <alignment vertical="center"/>
    </xf>
  </cellStyleXfs>
  <cellXfs count="136">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79"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6" fontId="3" fillId="0" borderId="0" xfId="0" applyNumberFormat="1" applyFont="1" applyAlignment="1">
      <alignment horizontal="center" vertical="center"/>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79" fontId="0" fillId="5" borderId="5" xfId="0" applyNumberFormat="1" applyFont="1" applyFill="1" applyBorder="1" applyAlignment="1">
      <alignment horizontal="center" vertical="center"/>
    </xf>
    <xf numFmtId="179"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79" fontId="0" fillId="5" borderId="8" xfId="0" applyNumberFormat="1" applyFont="1" applyFill="1" applyBorder="1" applyAlignment="1">
      <alignment horizontal="center" vertical="center"/>
    </xf>
    <xf numFmtId="179" fontId="0" fillId="6" borderId="9"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79" fontId="0" fillId="4" borderId="9" xfId="0" applyNumberFormat="1" applyFont="1" applyFill="1" applyBorder="1" applyAlignment="1">
      <alignment horizontal="center" vertical="center"/>
    </xf>
    <xf numFmtId="0" fontId="6" fillId="7" borderId="10" xfId="0" applyFont="1" applyFill="1" applyBorder="1" applyAlignment="1">
      <alignment horizontal="center"/>
    </xf>
    <xf numFmtId="0" fontId="6" fillId="7" borderId="11" xfId="0" applyFont="1" applyFill="1" applyBorder="1" applyAlignment="1">
      <alignment horizontal="center"/>
    </xf>
    <xf numFmtId="0" fontId="6" fillId="7" borderId="12" xfId="0" applyFont="1" applyFill="1" applyBorder="1" applyAlignment="1">
      <alignment horizontal="center"/>
    </xf>
    <xf numFmtId="181" fontId="6" fillId="7" borderId="10" xfId="0" applyNumberFormat="1" applyFont="1" applyFill="1" applyBorder="1" applyAlignment="1">
      <alignment horizontal="center"/>
    </xf>
    <xf numFmtId="179" fontId="6" fillId="7" borderId="9" xfId="0" applyNumberFormat="1" applyFont="1" applyFill="1" applyBorder="1" applyAlignment="1">
      <alignment horizontal="center"/>
    </xf>
    <xf numFmtId="0" fontId="6" fillId="7" borderId="8" xfId="0" applyFont="1" applyFill="1" applyBorder="1" applyAlignment="1">
      <alignment horizontal="center"/>
    </xf>
    <xf numFmtId="179" fontId="6" fillId="7" borderId="8"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181" fontId="6" fillId="3" borderId="5" xfId="0" applyNumberFormat="1" applyFont="1" applyFill="1" applyBorder="1" applyAlignment="1">
      <alignment horizontal="center" vertical="center"/>
    </xf>
    <xf numFmtId="0" fontId="0" fillId="7" borderId="13" xfId="0" applyFont="1" applyFill="1" applyBorder="1" applyAlignment="1">
      <alignment horizontal="center"/>
    </xf>
    <xf numFmtId="0" fontId="7" fillId="7" borderId="14" xfId="0" applyFont="1" applyFill="1" applyBorder="1" applyAlignment="1">
      <alignment horizontal="center" vertical="center"/>
    </xf>
    <xf numFmtId="0" fontId="8" fillId="7" borderId="14" xfId="0" applyFont="1" applyFill="1" applyBorder="1"/>
    <xf numFmtId="181" fontId="7"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1"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81"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79" fontId="0" fillId="5" borderId="0" xfId="0" applyNumberFormat="1" applyFill="1" applyAlignment="1">
      <alignment horizontal="center" vertical="center"/>
    </xf>
    <xf numFmtId="0" fontId="9" fillId="4" borderId="5" xfId="0" applyFont="1" applyFill="1" applyBorder="1" applyAlignment="1">
      <alignment horizontal="center" vertical="center"/>
    </xf>
    <xf numFmtId="0" fontId="10" fillId="0" borderId="0" xfId="0" applyFont="1" applyFill="1" applyBorder="1" applyAlignment="1">
      <alignment horizontal="justify" vertical="center" wrapText="1"/>
    </xf>
    <xf numFmtId="0" fontId="9" fillId="6" borderId="8" xfId="0" applyFont="1" applyFill="1" applyBorder="1" applyAlignment="1">
      <alignment horizontal="center" vertical="center"/>
    </xf>
    <xf numFmtId="0" fontId="9" fillId="4" borderId="8" xfId="0" applyFont="1" applyFill="1" applyBorder="1" applyAlignment="1">
      <alignment horizontal="center" vertical="center"/>
    </xf>
    <xf numFmtId="0" fontId="6" fillId="3" borderId="16" xfId="0" applyFont="1" applyFill="1" applyBorder="1" applyAlignment="1">
      <alignment horizontal="center" vertical="center"/>
    </xf>
    <xf numFmtId="181" fontId="6" fillId="3" borderId="16" xfId="0" applyNumberFormat="1" applyFont="1" applyFill="1" applyBorder="1" applyAlignment="1">
      <alignment horizontal="center" vertical="center"/>
    </xf>
    <xf numFmtId="0" fontId="0" fillId="7" borderId="0" xfId="0" applyFill="1" applyAlignment="1">
      <alignment horizontal="center"/>
    </xf>
    <xf numFmtId="0" fontId="7" fillId="7" borderId="0" xfId="0" applyFont="1" applyFill="1" applyAlignment="1">
      <alignment horizontal="center" vertical="center"/>
    </xf>
    <xf numFmtId="0" fontId="8" fillId="7" borderId="0" xfId="0" applyFont="1" applyFill="1"/>
    <xf numFmtId="181" fontId="7" fillId="7" borderId="0" xfId="0" applyNumberFormat="1" applyFont="1" applyFill="1" applyAlignment="1">
      <alignment horizontal="center" vertical="center"/>
    </xf>
    <xf numFmtId="0" fontId="0" fillId="7" borderId="0" xfId="0" applyFill="1" applyAlignment="1">
      <alignment horizontal="center" vertical="center"/>
    </xf>
    <xf numFmtId="0" fontId="7" fillId="7" borderId="0" xfId="0" applyFont="1" applyFill="1" applyAlignment="1">
      <alignment horizontal="center" vertical="center" wrapText="1"/>
    </xf>
    <xf numFmtId="179" fontId="8" fillId="7" borderId="0" xfId="0" applyNumberFormat="1" applyFont="1" applyFill="1" applyAlignment="1">
      <alignment horizontal="center" vertical="center"/>
    </xf>
    <xf numFmtId="179" fontId="7" fillId="7" borderId="0" xfId="0" applyNumberFormat="1" applyFont="1" applyFill="1" applyAlignment="1">
      <alignment horizontal="center" vertical="center"/>
    </xf>
    <xf numFmtId="0" fontId="1" fillId="0" borderId="17" xfId="0" applyFont="1" applyBorder="1" applyAlignment="1">
      <alignment horizontal="center"/>
    </xf>
    <xf numFmtId="182" fontId="0" fillId="2" borderId="0" xfId="9" applyFont="1" applyFill="1" applyAlignment="1">
      <alignment horizontal="center" vertical="center"/>
    </xf>
    <xf numFmtId="181" fontId="0" fillId="2" borderId="0" xfId="0" applyNumberFormat="1" applyFill="1" applyAlignment="1">
      <alignment horizontal="center"/>
    </xf>
    <xf numFmtId="0" fontId="0" fillId="2" borderId="0" xfId="0" applyFill="1" applyAlignment="1">
      <alignment horizontal="center" vertical="center"/>
    </xf>
    <xf numFmtId="9" fontId="0" fillId="2" borderId="0" xfId="0" applyNumberFormat="1" applyFill="1" applyAlignment="1">
      <alignment horizontal="center" vertical="center"/>
    </xf>
    <xf numFmtId="177" fontId="0" fillId="2" borderId="0" xfId="0" applyNumberFormat="1" applyFill="1" applyAlignment="1">
      <alignment horizontal="center" vertical="center"/>
    </xf>
    <xf numFmtId="0" fontId="11" fillId="0" borderId="0" xfId="0" applyFont="1" applyFill="1" applyAlignment="1">
      <alignment horizontal="center" vertical="center"/>
    </xf>
    <xf numFmtId="181" fontId="11" fillId="5" borderId="0" xfId="0" applyNumberFormat="1" applyFont="1" applyFill="1" applyAlignment="1">
      <alignment horizontal="center" vertical="center"/>
    </xf>
    <xf numFmtId="0" fontId="6" fillId="7" borderId="18" xfId="0" applyFont="1" applyFill="1" applyBorder="1" applyAlignment="1">
      <alignment horizontal="center"/>
    </xf>
    <xf numFmtId="0" fontId="11" fillId="9" borderId="0" xfId="0" applyFont="1" applyFill="1" applyAlignment="1">
      <alignment horizontal="justify"/>
    </xf>
    <xf numFmtId="10" fontId="11"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9" fontId="0" fillId="0" borderId="0" xfId="0" applyNumberFormat="1" applyAlignment="1">
      <alignment horizontal="center"/>
    </xf>
    <xf numFmtId="0" fontId="6" fillId="7" borderId="0" xfId="0" applyFont="1" applyFill="1" applyAlignment="1">
      <alignment horizontal="center"/>
    </xf>
    <xf numFmtId="10" fontId="0" fillId="0" borderId="0" xfId="4" applyNumberFormat="1" applyAlignment="1">
      <alignment horizontal="center" vertical="center"/>
    </xf>
    <xf numFmtId="179" fontId="0" fillId="0" borderId="0" xfId="0" applyNumberFormat="1"/>
    <xf numFmtId="0" fontId="12" fillId="10" borderId="0" xfId="0" applyFont="1" applyFill="1" applyBorder="1" applyAlignment="1">
      <alignment horizontal="center" vertical="center"/>
    </xf>
    <xf numFmtId="0" fontId="13" fillId="11" borderId="19" xfId="0" applyFont="1" applyFill="1" applyBorder="1" applyAlignment="1">
      <alignment horizontal="center" vertical="center"/>
    </xf>
    <xf numFmtId="183" fontId="4" fillId="12" borderId="20" xfId="0" applyNumberFormat="1" applyFont="1" applyFill="1" applyBorder="1" applyAlignment="1">
      <alignment horizontal="center" vertical="center"/>
    </xf>
    <xf numFmtId="0" fontId="0" fillId="0" borderId="0" xfId="0" applyAlignment="1"/>
    <xf numFmtId="0" fontId="13" fillId="13" borderId="20" xfId="0" applyFont="1" applyFill="1" applyBorder="1" applyAlignment="1">
      <alignment horizontal="center" vertical="center"/>
    </xf>
    <xf numFmtId="183" fontId="13"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79"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79" fontId="0" fillId="14" borderId="0" xfId="0" applyNumberFormat="1" applyFill="1" applyAlignment="1">
      <alignment horizontal="center" vertical="center"/>
    </xf>
    <xf numFmtId="0" fontId="6"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1" fontId="0" fillId="14" borderId="0" xfId="0" applyNumberFormat="1" applyFill="1" applyAlignment="1">
      <alignment horizontal="center" vertical="center"/>
    </xf>
    <xf numFmtId="0" fontId="12"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3" fontId="4" fillId="12" borderId="0" xfId="0" applyNumberFormat="1" applyFont="1" applyFill="1" applyAlignment="1">
      <alignment horizontal="center" vertical="center"/>
    </xf>
    <xf numFmtId="185" fontId="4" fillId="12" borderId="0" xfId="0" applyNumberFormat="1" applyFont="1" applyFill="1" applyAlignment="1">
      <alignment horizontal="center" vertical="center"/>
    </xf>
    <xf numFmtId="0" fontId="0" fillId="0" borderId="0" xfId="0" applyNumberFormat="1" applyAlignment="1">
      <alignment horizontal="center"/>
    </xf>
    <xf numFmtId="0" fontId="6" fillId="7" borderId="0" xfId="0" applyFont="1" applyFill="1"/>
    <xf numFmtId="179" fontId="6" fillId="7" borderId="0" xfId="0" applyNumberFormat="1" applyFont="1" applyFill="1" applyAlignment="1">
      <alignment horizontal="center"/>
    </xf>
    <xf numFmtId="182" fontId="0" fillId="2" borderId="0" xfId="9" applyFont="1" applyFill="1" applyAlignment="1">
      <alignment horizontal="center"/>
    </xf>
    <xf numFmtId="2" fontId="0" fillId="2" borderId="0" xfId="0" applyNumberFormat="1" applyFill="1" applyAlignment="1">
      <alignment horizontal="center"/>
    </xf>
    <xf numFmtId="0" fontId="0" fillId="2" borderId="0" xfId="0" applyFill="1" applyAlignment="1">
      <alignment horizontal="center"/>
    </xf>
    <xf numFmtId="9" fontId="0" fillId="2" borderId="0" xfId="0" applyNumberFormat="1" applyFill="1" applyAlignment="1">
      <alignment horizontal="center"/>
    </xf>
    <xf numFmtId="10" fontId="0" fillId="0" borderId="0" xfId="0" applyNumberFormat="1"/>
    <xf numFmtId="10" fontId="0" fillId="2" borderId="0" xfId="4" applyNumberFormat="1" applyFont="1" applyFill="1" applyAlignment="1"/>
    <xf numFmtId="10" fontId="0" fillId="0" borderId="0" xfId="4" applyNumberFormat="1" applyFont="1" applyAlignment="1"/>
    <xf numFmtId="180"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79" fontId="0" fillId="0" borderId="0" xfId="0" applyNumberFormat="1" applyAlignment="1">
      <alignment horizontal="center" vertical="center" wrapText="1"/>
    </xf>
    <xf numFmtId="0" fontId="0" fillId="0" borderId="0" xfId="0" applyAlignment="1">
      <alignment vertical="center"/>
    </xf>
    <xf numFmtId="179" fontId="8"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60">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0" formatCode="&quot;R$&quot;#,##0.00"/>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0"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9" formatCode="&quot;R$&quot;\ #,##0.00"/>
      <alignment horizontal="center" vertical="center"/>
    </dxf>
    <dxf>
      <numFmt numFmtId="179"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9"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59"/>
      <tableStyleElement type="firstHeaderCell" dxfId="25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onnections" Target="connections.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externalLink" Target="externalLinks/externalLink1.xml"/><Relationship Id="rId26" Type="http://schemas.openxmlformats.org/officeDocument/2006/relationships/customXml" Target="../customXml/item17.xml"/><Relationship Id="rId25" Type="http://schemas.openxmlformats.org/officeDocument/2006/relationships/customXml" Target="../customXml/item16.xml"/><Relationship Id="rId24" Type="http://schemas.openxmlformats.org/officeDocument/2006/relationships/customXml" Target="../customXml/item15.xml"/><Relationship Id="rId23" Type="http://schemas.openxmlformats.org/officeDocument/2006/relationships/customXml" Target="../customXml/item14.xml"/><Relationship Id="rId22" Type="http://schemas.openxmlformats.org/officeDocument/2006/relationships/customXml" Target="../customXml/item13.xml"/><Relationship Id="rId21" Type="http://schemas.openxmlformats.org/officeDocument/2006/relationships/customXml" Target="../customXml/item12.xml"/><Relationship Id="rId20" Type="http://schemas.openxmlformats.org/officeDocument/2006/relationships/customXml" Target="../customXml/item11.xml"/><Relationship Id="rId2" Type="http://schemas.openxmlformats.org/officeDocument/2006/relationships/worksheet" Target="worksheets/sheet2.xml"/><Relationship Id="rId19" Type="http://schemas.openxmlformats.org/officeDocument/2006/relationships/customXml" Target="../customXml/item10.xml"/><Relationship Id="rId18" Type="http://schemas.openxmlformats.org/officeDocument/2006/relationships/customXml" Target="../customXml/item9.xml"/><Relationship Id="rId17" Type="http://schemas.openxmlformats.org/officeDocument/2006/relationships/customXml" Target="../customXml/item8.xml"/><Relationship Id="rId16" Type="http://schemas.openxmlformats.org/officeDocument/2006/relationships/customXml" Target="../customXml/item7.xml"/><Relationship Id="rId15" Type="http://schemas.openxmlformats.org/officeDocument/2006/relationships/customXml" Target="../customXml/item6.xml"/><Relationship Id="rId14" Type="http://schemas.openxmlformats.org/officeDocument/2006/relationships/customXml" Target="../customXml/item5.xml"/><Relationship Id="rId13" Type="http://schemas.openxmlformats.org/officeDocument/2006/relationships/customXml" Target="../customXml/item4.xml"/><Relationship Id="rId12" Type="http://schemas.openxmlformats.org/officeDocument/2006/relationships/customXml" Target="../customXml/item3.xml"/><Relationship Id="rId11" Type="http://schemas.openxmlformats.org/officeDocument/2006/relationships/customXml" Target="../customXml/item2.xml"/><Relationship Id="rId10"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row r="150">
          <cell r="D150">
            <v>3777.64271338513</v>
          </cell>
        </row>
      </sheetData>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62.xml><?xml version="1.0" encoding="utf-8"?>
<table xmlns="http://schemas.openxmlformats.org/spreadsheetml/2006/main" id="15" name="Table328" displayName="Table328" ref="A2:N21" totalsRowCount="1">
  <tableColumns count="14">
    <tableColumn id="1" name="Descrição" totalsRowLabel="Total" dataDxfId="228"/>
    <tableColumn id="2" name="Tipo" dataDxfId="229"/>
    <tableColumn id="3" name="Quantidade" dataDxfId="230"/>
    <tableColumn id="4" name="Frequência no mês/semestre" dataDxfId="231"/>
    <tableColumn id="5" name="Jornada de Trabalho no mês/Semestre" dataDxfId="232"/>
    <tableColumn id="6" name="Produtividade Mínima" dataDxfId="233"/>
    <tableColumn id="7" name="Produtividade Máxima" dataDxfId="234"/>
    <tableColumn id="8" name="Produtividade Média" dataDxfId="235"/>
    <tableColumn id="9" name="Produtividade Personalizada" dataDxfId="236"/>
    <tableColumn id="10" name="Ki" dataDxfId="237"/>
    <tableColumn id="11" name="Quantidade de Serventes" totalsRowFunction="sum" dataDxfId="238"/>
    <tableColumn id="12" name="Ki ajustado" totalsRowFunction="custom">
      <calculatedColumnFormula>ROUND(K21,0)</calculatedColumnFormula>
      <totalsRowFormula>ROUND(K21,0)</totalsRowFormula>
       dataDxfId="239"
    </tableColumn>
    <tableColumn id="13" name="Quantidade de Serventes Ajustada" totalsRowFunction="sum" dataDxfId="240"/>
    <tableColumn id="14" name="Produtividade ajustada" dataDxfId="241"/>
  </tableColumns>
  <tableStyleInfo name="TableStyleMedium14" showFirstColumn="0" showLastColumn="1" showRowStripes="1" showColumnStripes="0"/>
</table>
</file>

<file path=xl/tables/table63.xml><?xml version="1.0" encoding="utf-8"?>
<table xmlns="http://schemas.openxmlformats.org/spreadsheetml/2006/main" id="16" name="Table39" displayName="Table39" ref="A2:H21" totalsRowCount="1">
  <autoFilter ref="A2:H20"/>
  <tableColumns count="8">
    <tableColumn id="1" name="Item" totalsRowLabel="Total" dataDxfId="242"/>
    <tableColumn id="2" name="Descrição" dataDxfId="243"/>
    <tableColumn id="3" name="Quantidade" dataDxfId="244"/>
    <tableColumn id="4" name="Ki" dataDxfId="245"/>
    <tableColumn id="5" name="Preço Homem -Mês (Servente)" dataDxfId="246"/>
    <tableColumn id="6" name="Preço Homem -Mês (Encarregado)" dataDxfId="247"/>
    <tableColumn id="7" name="Preço m²" dataDxfId="248"/>
    <tableColumn id="8" name="Subtotal" totalsRowFunction="sum" dataDxfId="249"/>
  </tableColumns>
  <tableStyleInfo name="TableStyleMedium14" showFirstColumn="0" showLastColumn="0" showRowStripes="1" showColumnStripes="0"/>
</table>
</file>

<file path=xl/tables/table64.xml><?xml version="1.0" encoding="utf-8"?>
<table xmlns="http://schemas.openxmlformats.org/spreadsheetml/2006/main" id="17" name="Table40" displayName="Table40" ref="A26:H27" totalsRowShown="0">
  <autoFilter ref="A26:H27"/>
  <tableColumns count="8">
    <tableColumn id="1" name="Item" dataDxfId="250"/>
    <tableColumn id="2" name="Descrição" dataDxfId="251"/>
    <tableColumn id="3" name="CATSERV" dataDxfId="252"/>
    <tableColumn id="4" name="Unidade" dataDxfId="253"/>
    <tableColumn id="5" name="Quantidade" dataDxfId="254"/>
    <tableColumn id="6" name="Vigência" dataDxfId="255"/>
    <tableColumn id="7" name="Valor Mensal" dataDxfId="256"/>
    <tableColumn id="8" name="Valor Anual" dataDxfId="25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2.xml"/><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8.xml.rels><?xml version="1.0" encoding="UTF-8" standalone="yes"?>
<Relationships xmlns="http://schemas.openxmlformats.org/package/2006/relationships"><Relationship Id="rId4" Type="http://schemas.openxmlformats.org/officeDocument/2006/relationships/table" Target="../tables/table64.xml"/><Relationship Id="rId3" Type="http://schemas.openxmlformats.org/officeDocument/2006/relationships/table" Target="../tables/table63.xml"/><Relationship Id="rId2" Type="http://schemas.openxmlformats.org/officeDocument/2006/relationships/vmlDrawing" Target="../drawings/vmlDrawing5.vml"/><Relationship Id="rId1"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7" t="s">
        <v>0</v>
      </c>
      <c r="B1" s="77"/>
      <c r="C1" s="77"/>
      <c r="D1" s="77"/>
      <c r="F1" s="1" t="s">
        <v>1</v>
      </c>
      <c r="G1" s="1"/>
      <c r="H1" s="97"/>
      <c r="I1" s="97"/>
      <c r="J1" s="97"/>
      <c r="K1" s="97"/>
      <c r="L1" s="97"/>
      <c r="M1" s="97"/>
      <c r="N1" s="97"/>
      <c r="O1" s="97"/>
      <c r="P1" s="97"/>
      <c r="Q1" s="97"/>
      <c r="R1" s="97"/>
      <c r="S1" s="97"/>
      <c r="T1" s="97"/>
      <c r="U1" s="97"/>
    </row>
    <row r="2" spans="1:21">
      <c r="A2" s="3" t="s">
        <v>2</v>
      </c>
      <c r="B2" t="s">
        <v>3</v>
      </c>
      <c r="C2" s="3" t="s">
        <v>4</v>
      </c>
      <c r="D2" s="3" t="s">
        <v>5</v>
      </c>
      <c r="F2" t="s">
        <v>3</v>
      </c>
      <c r="G2" t="s">
        <v>5</v>
      </c>
      <c r="H2" s="97"/>
      <c r="I2" s="97"/>
      <c r="J2" s="97"/>
      <c r="K2" s="97"/>
      <c r="L2" s="97"/>
      <c r="M2" s="97"/>
      <c r="N2" s="97"/>
      <c r="O2" s="97"/>
      <c r="P2" s="97"/>
      <c r="Q2" s="97"/>
      <c r="R2" s="97"/>
      <c r="S2" s="97"/>
      <c r="T2" s="97"/>
      <c r="U2" s="97"/>
    </row>
    <row r="3" spans="1:21">
      <c r="A3" s="3">
        <v>1</v>
      </c>
      <c r="B3" t="s">
        <v>6</v>
      </c>
      <c r="C3" s="3"/>
      <c r="D3" s="3" t="s">
        <v>7</v>
      </c>
      <c r="F3" t="s">
        <v>8</v>
      </c>
      <c r="G3" s="121">
        <v>3.8</v>
      </c>
      <c r="H3" s="97"/>
      <c r="I3" s="97"/>
      <c r="J3" s="97"/>
      <c r="K3" s="97"/>
      <c r="L3" s="97"/>
      <c r="M3" s="97"/>
      <c r="N3" s="97"/>
      <c r="O3" s="97"/>
      <c r="P3" s="97"/>
      <c r="Q3" s="97"/>
      <c r="R3" s="97"/>
      <c r="S3" s="97"/>
      <c r="T3" s="97"/>
      <c r="U3" s="97"/>
    </row>
    <row r="4" spans="1:21">
      <c r="A4" s="3">
        <v>2</v>
      </c>
      <c r="B4" t="s">
        <v>9</v>
      </c>
      <c r="C4" s="3"/>
      <c r="D4" s="3" t="s">
        <v>10</v>
      </c>
      <c r="F4" t="s">
        <v>11</v>
      </c>
      <c r="G4" s="121">
        <v>14</v>
      </c>
      <c r="H4" s="97"/>
      <c r="I4" s="97"/>
      <c r="J4" s="97"/>
      <c r="K4" s="97"/>
      <c r="L4" s="97"/>
      <c r="M4" s="97"/>
      <c r="N4" s="97"/>
      <c r="O4" s="97"/>
      <c r="P4" s="97"/>
      <c r="Q4" s="97"/>
      <c r="R4" s="97"/>
      <c r="S4" s="97"/>
      <c r="T4" s="97"/>
      <c r="U4" s="97"/>
    </row>
    <row r="5" spans="1:21">
      <c r="A5" s="3">
        <v>3</v>
      </c>
      <c r="B5" t="s">
        <v>12</v>
      </c>
      <c r="C5" s="3" t="s">
        <v>13</v>
      </c>
      <c r="D5" s="122">
        <v>1002.88</v>
      </c>
      <c r="F5" t="s">
        <v>14</v>
      </c>
      <c r="G5" s="123">
        <v>22</v>
      </c>
      <c r="H5" s="97"/>
      <c r="I5" s="97"/>
      <c r="J5" s="97"/>
      <c r="K5" s="97"/>
      <c r="L5" s="97"/>
      <c r="M5" s="97"/>
      <c r="N5" s="97"/>
      <c r="O5" s="97"/>
      <c r="P5" s="97"/>
      <c r="Q5" s="97"/>
      <c r="R5" s="97"/>
      <c r="S5" s="97"/>
      <c r="T5" s="97"/>
      <c r="U5" s="97"/>
    </row>
    <row r="6" spans="1:21">
      <c r="A6" s="3">
        <v>4</v>
      </c>
      <c r="B6" t="s">
        <v>15</v>
      </c>
      <c r="C6" s="3" t="s">
        <v>16</v>
      </c>
      <c r="D6" s="3" t="s">
        <v>17</v>
      </c>
      <c r="F6" t="s">
        <v>18</v>
      </c>
      <c r="G6" s="124">
        <v>0.03</v>
      </c>
      <c r="H6" s="97"/>
      <c r="I6" s="97"/>
      <c r="J6" s="97"/>
      <c r="K6" s="97"/>
      <c r="L6" s="97"/>
      <c r="M6" s="97"/>
      <c r="N6" s="97"/>
      <c r="O6" s="97"/>
      <c r="P6" s="97"/>
      <c r="Q6" s="97"/>
      <c r="R6" s="97"/>
      <c r="S6" s="97"/>
      <c r="T6" s="97"/>
      <c r="U6" s="97"/>
    </row>
    <row r="7" spans="1:21">
      <c r="A7" s="3">
        <v>5</v>
      </c>
      <c r="B7" t="s">
        <v>19</v>
      </c>
      <c r="C7" s="3"/>
      <c r="D7" s="3" t="s">
        <v>20</v>
      </c>
      <c r="H7" s="97"/>
      <c r="I7" s="97"/>
      <c r="J7" s="97"/>
      <c r="K7" s="97"/>
      <c r="L7" s="97"/>
      <c r="M7" s="97"/>
      <c r="N7" s="97"/>
      <c r="O7" s="97"/>
      <c r="P7" s="97"/>
      <c r="Q7" s="97"/>
      <c r="R7" s="97"/>
      <c r="S7" s="97"/>
      <c r="T7" s="97"/>
      <c r="U7" s="97"/>
    </row>
    <row r="8" spans="6:21">
      <c r="F8" s="1" t="s">
        <v>21</v>
      </c>
      <c r="G8" s="1"/>
      <c r="H8" s="97"/>
      <c r="I8" s="97"/>
      <c r="J8" s="97"/>
      <c r="K8" s="97"/>
      <c r="L8" s="97"/>
      <c r="M8" s="97"/>
      <c r="N8" s="97"/>
      <c r="O8" s="97"/>
      <c r="P8" s="97"/>
      <c r="Q8" s="97"/>
      <c r="R8" s="97"/>
      <c r="S8" s="97"/>
      <c r="T8" s="97"/>
      <c r="U8" s="97"/>
    </row>
    <row r="9" spans="1:21">
      <c r="A9" s="85" t="s">
        <v>22</v>
      </c>
      <c r="B9" s="85"/>
      <c r="C9" s="85"/>
      <c r="D9" s="85"/>
      <c r="F9" t="s">
        <v>23</v>
      </c>
      <c r="G9" t="s">
        <v>24</v>
      </c>
      <c r="H9" s="97"/>
      <c r="I9" s="97"/>
      <c r="J9" s="97"/>
      <c r="K9" s="97"/>
      <c r="L9" s="97"/>
      <c r="M9" s="97"/>
      <c r="N9" s="97"/>
      <c r="O9" s="97"/>
      <c r="P9" s="97"/>
      <c r="Q9" s="97"/>
      <c r="R9" s="97"/>
      <c r="S9" s="97"/>
      <c r="T9" s="97"/>
      <c r="U9" s="97"/>
    </row>
    <row r="10" spans="1:21">
      <c r="A10" s="3" t="s">
        <v>25</v>
      </c>
      <c r="B10" t="s">
        <v>26</v>
      </c>
      <c r="C10" s="3" t="s">
        <v>4</v>
      </c>
      <c r="D10" s="3" t="s">
        <v>5</v>
      </c>
      <c r="F10" t="s">
        <v>27</v>
      </c>
      <c r="G10" s="125">
        <v>0.4337</v>
      </c>
      <c r="H10" s="97"/>
      <c r="I10" s="97"/>
      <c r="J10" s="97"/>
      <c r="K10" s="97"/>
      <c r="L10" s="97"/>
      <c r="M10" s="97"/>
      <c r="N10" s="97"/>
      <c r="O10" s="97"/>
      <c r="P10" s="97"/>
      <c r="Q10" s="97"/>
      <c r="R10" s="97"/>
      <c r="S10" s="97"/>
      <c r="T10" s="97"/>
      <c r="U10" s="97"/>
    </row>
    <row r="11" spans="1:21">
      <c r="A11" s="3" t="s">
        <v>28</v>
      </c>
      <c r="B11" t="s">
        <v>29</v>
      </c>
      <c r="C11" s="3"/>
      <c r="D11" s="90">
        <f>Salário_Normativo_da_Categoria_Profissional</f>
        <v>1002.88</v>
      </c>
      <c r="F11" t="s">
        <v>30</v>
      </c>
      <c r="G11" s="125">
        <v>0.4337</v>
      </c>
      <c r="H11" s="97"/>
      <c r="I11" s="97"/>
      <c r="J11" s="97"/>
      <c r="K11" s="97"/>
      <c r="L11" s="97"/>
      <c r="M11" s="97"/>
      <c r="N11" s="97"/>
      <c r="O11" s="97"/>
      <c r="P11" s="97"/>
      <c r="Q11" s="97"/>
      <c r="R11" s="97"/>
      <c r="S11" s="97"/>
      <c r="T11" s="97"/>
      <c r="U11" s="97"/>
    </row>
    <row r="12" spans="1:21">
      <c r="A12" s="3" t="s">
        <v>31</v>
      </c>
      <c r="B12" t="s">
        <v>32</v>
      </c>
      <c r="C12" s="3"/>
      <c r="D12" s="90"/>
      <c r="F12" t="s">
        <v>33</v>
      </c>
      <c r="G12" s="125">
        <v>0.0218</v>
      </c>
      <c r="H12" s="97"/>
      <c r="I12" s="97"/>
      <c r="J12" s="97"/>
      <c r="K12" s="97"/>
      <c r="L12" s="97"/>
      <c r="M12" s="97"/>
      <c r="N12" s="97"/>
      <c r="O12" s="97"/>
      <c r="P12" s="97"/>
      <c r="Q12" s="97"/>
      <c r="R12" s="97"/>
      <c r="S12" s="97"/>
      <c r="T12" s="97"/>
      <c r="U12" s="97"/>
    </row>
    <row r="13" spans="1:21">
      <c r="A13" s="3" t="s">
        <v>34</v>
      </c>
      <c r="B13" t="s">
        <v>35</v>
      </c>
      <c r="C13" s="3"/>
      <c r="D13" s="90"/>
      <c r="H13" s="97"/>
      <c r="I13" s="97"/>
      <c r="J13" s="97"/>
      <c r="K13" s="97"/>
      <c r="L13" s="97"/>
      <c r="M13" s="97"/>
      <c r="N13" s="97"/>
      <c r="O13" s="97"/>
      <c r="P13" s="97"/>
      <c r="Q13" s="97"/>
      <c r="R13" s="97"/>
      <c r="S13" s="97"/>
      <c r="T13" s="97"/>
      <c r="U13" s="97"/>
    </row>
    <row r="14" spans="1:21">
      <c r="A14" s="3" t="s">
        <v>36</v>
      </c>
      <c r="B14" t="s">
        <v>37</v>
      </c>
      <c r="C14" s="3"/>
      <c r="D14" s="90"/>
      <c r="F14" s="1" t="s">
        <v>38</v>
      </c>
      <c r="G14" s="1"/>
      <c r="H14" s="97"/>
      <c r="I14" s="97"/>
      <c r="J14" s="97"/>
      <c r="K14" s="97"/>
      <c r="L14" s="97"/>
      <c r="M14" s="97"/>
      <c r="N14" s="97"/>
      <c r="O14" s="97"/>
      <c r="P14" s="97"/>
      <c r="Q14" s="97"/>
      <c r="R14" s="97"/>
      <c r="S14" s="97"/>
      <c r="T14" s="97"/>
      <c r="U14" s="97"/>
    </row>
    <row r="15" spans="1:21">
      <c r="A15" s="3" t="s">
        <v>39</v>
      </c>
      <c r="B15" t="s">
        <v>40</v>
      </c>
      <c r="C15" s="3"/>
      <c r="D15" s="90"/>
      <c r="F15" s="97" t="s">
        <v>3</v>
      </c>
      <c r="G15" s="97" t="s">
        <v>24</v>
      </c>
      <c r="H15" s="97"/>
      <c r="I15" s="97"/>
      <c r="J15" s="97"/>
      <c r="K15" s="97"/>
      <c r="L15" s="97"/>
      <c r="M15" s="97"/>
      <c r="N15" s="97"/>
      <c r="O15" s="97"/>
      <c r="P15" s="97"/>
      <c r="Q15" s="97"/>
      <c r="R15" s="97"/>
      <c r="S15" s="97"/>
      <c r="T15" s="97"/>
      <c r="U15" s="97"/>
    </row>
    <row r="16" spans="1:21">
      <c r="A16" s="3" t="s">
        <v>41</v>
      </c>
      <c r="B16" t="s">
        <v>42</v>
      </c>
      <c r="C16" s="3"/>
      <c r="D16" s="90"/>
      <c r="F16" s="97" t="s">
        <v>43</v>
      </c>
      <c r="G16" s="126">
        <v>0.03</v>
      </c>
      <c r="H16" s="97"/>
      <c r="I16" s="97"/>
      <c r="J16" s="97"/>
      <c r="K16" s="97"/>
      <c r="L16" s="97"/>
      <c r="M16" s="97"/>
      <c r="N16" s="97"/>
      <c r="O16" s="97"/>
      <c r="P16" s="97"/>
      <c r="Q16" s="97"/>
      <c r="R16" s="97"/>
      <c r="S16" s="97"/>
      <c r="T16" s="97"/>
      <c r="U16" s="97"/>
    </row>
    <row r="17" spans="1:21">
      <c r="A17" s="3" t="s">
        <v>44</v>
      </c>
      <c r="C17" s="3"/>
      <c r="D17" s="90">
        <f>SUBTOTAL(109,Módulo13[Valor])</f>
        <v>1002.88</v>
      </c>
      <c r="F17" s="97" t="s">
        <v>45</v>
      </c>
      <c r="G17" s="126">
        <v>0.0679</v>
      </c>
      <c r="H17" s="97"/>
      <c r="I17" s="97"/>
      <c r="J17" s="97"/>
      <c r="K17" s="97"/>
      <c r="L17" s="97"/>
      <c r="M17" s="97"/>
      <c r="N17" s="97"/>
      <c r="O17" s="97"/>
      <c r="P17" s="97"/>
      <c r="Q17" s="97"/>
      <c r="R17" s="97"/>
      <c r="S17" s="97"/>
      <c r="T17" s="97"/>
      <c r="U17" s="97"/>
    </row>
    <row r="18" spans="6:21">
      <c r="F18" s="97" t="s">
        <v>46</v>
      </c>
      <c r="G18" s="127">
        <v>0.0165</v>
      </c>
      <c r="H18" s="97"/>
      <c r="I18" s="97"/>
      <c r="J18" s="97"/>
      <c r="K18" s="97"/>
      <c r="L18" s="97"/>
      <c r="M18" s="97"/>
      <c r="N18" s="97"/>
      <c r="O18" s="97"/>
      <c r="P18" s="97"/>
      <c r="Q18" s="97"/>
      <c r="R18" s="97"/>
      <c r="S18" s="97"/>
      <c r="T18" s="97"/>
      <c r="U18" s="97"/>
    </row>
    <row r="19" spans="1:21">
      <c r="A19" s="91" t="s">
        <v>47</v>
      </c>
      <c r="B19" s="91"/>
      <c r="C19" s="91"/>
      <c r="D19" s="91"/>
      <c r="F19" s="97" t="s">
        <v>48</v>
      </c>
      <c r="G19" s="127">
        <v>0.076</v>
      </c>
      <c r="H19" s="97"/>
      <c r="I19" s="97"/>
      <c r="J19" s="97"/>
      <c r="K19" s="97"/>
      <c r="L19" s="97"/>
      <c r="M19" s="97"/>
      <c r="N19" s="97"/>
      <c r="O19" s="97"/>
      <c r="P19" s="97"/>
      <c r="Q19" s="97"/>
      <c r="R19" s="97"/>
      <c r="S19" s="97"/>
      <c r="T19" s="97"/>
      <c r="U19" s="97"/>
    </row>
    <row r="20" spans="1:21">
      <c r="A20" s="1" t="s">
        <v>49</v>
      </c>
      <c r="B20" s="1"/>
      <c r="C20" s="1"/>
      <c r="D20" s="1"/>
      <c r="F20" s="97" t="s">
        <v>50</v>
      </c>
      <c r="G20" s="127">
        <v>0.05</v>
      </c>
      <c r="H20" s="97"/>
      <c r="I20" s="97"/>
      <c r="J20" s="97"/>
      <c r="K20" s="97"/>
      <c r="L20" s="97"/>
      <c r="M20" s="97"/>
      <c r="N20" s="97"/>
      <c r="O20" s="97"/>
      <c r="P20" s="97"/>
      <c r="Q20" s="97"/>
      <c r="R20" s="97"/>
      <c r="S20" s="97"/>
      <c r="T20" s="97"/>
      <c r="U20" s="97"/>
    </row>
    <row r="21" spans="1:21">
      <c r="A21" s="3" t="s">
        <v>51</v>
      </c>
      <c r="B21" t="s">
        <v>52</v>
      </c>
      <c r="C21" s="3" t="s">
        <v>4</v>
      </c>
      <c r="D21" s="3" t="s">
        <v>5</v>
      </c>
      <c r="F21" s="97"/>
      <c r="G21" s="97"/>
      <c r="H21" s="97"/>
      <c r="I21" s="97"/>
      <c r="J21" s="97"/>
      <c r="K21" s="97"/>
      <c r="L21" s="97"/>
      <c r="M21" s="97"/>
      <c r="N21" s="97"/>
      <c r="O21" s="97"/>
      <c r="P21" s="97"/>
      <c r="Q21" s="97"/>
      <c r="R21" s="97"/>
      <c r="S21" s="97"/>
      <c r="T21" s="97"/>
      <c r="U21" s="97"/>
    </row>
    <row r="22" spans="1:21">
      <c r="A22" s="3" t="s">
        <v>28</v>
      </c>
      <c r="B22" t="s">
        <v>53</v>
      </c>
      <c r="D22" s="90">
        <f>Módulo13[[#Totals],[Valor]]/12</f>
        <v>83.5733333333333</v>
      </c>
      <c r="F22" s="1" t="s">
        <v>54</v>
      </c>
      <c r="G22" s="1"/>
      <c r="H22" s="97"/>
      <c r="I22" s="97"/>
      <c r="J22" s="97"/>
      <c r="K22" s="97"/>
      <c r="L22" s="97"/>
      <c r="M22" s="97"/>
      <c r="N22" s="97"/>
      <c r="O22" s="97"/>
      <c r="P22" s="97"/>
      <c r="Q22" s="97"/>
      <c r="R22" s="97"/>
      <c r="S22" s="97"/>
      <c r="T22" s="97"/>
      <c r="U22" s="97"/>
    </row>
    <row r="23" spans="1:21">
      <c r="A23" s="3" t="s">
        <v>31</v>
      </c>
      <c r="B23" t="s">
        <v>55</v>
      </c>
      <c r="D23" s="90">
        <f>(Módulo13[[#Totals],[Valor]]/12)*(1/3)</f>
        <v>27.8577777777778</v>
      </c>
      <c r="E23" s="93"/>
      <c r="F23" s="3" t="s">
        <v>3</v>
      </c>
      <c r="G23" s="3" t="s">
        <v>5</v>
      </c>
      <c r="H23" s="97"/>
      <c r="I23" s="97"/>
      <c r="J23" s="97"/>
      <c r="K23" s="97"/>
      <c r="L23" s="97"/>
      <c r="M23" s="97"/>
      <c r="N23" s="97"/>
      <c r="O23" s="97"/>
      <c r="P23" s="97"/>
      <c r="Q23" s="97"/>
      <c r="R23" s="97"/>
      <c r="S23" s="97"/>
      <c r="T23" s="97"/>
      <c r="U23" s="97"/>
    </row>
    <row r="24" spans="1:21">
      <c r="A24" s="3" t="s">
        <v>44</v>
      </c>
      <c r="D24" s="90">
        <f>SUBTOTAL(109,Submódulo2.14[Valor])</f>
        <v>111.431111111111</v>
      </c>
      <c r="F24" s="97" t="s">
        <v>56</v>
      </c>
      <c r="G24" s="128">
        <f>((D17+D24+(D17/12))*(100%+C41))/30</f>
        <v>54.6235306666667</v>
      </c>
      <c r="H24" s="97"/>
      <c r="I24" s="97"/>
      <c r="J24" s="97"/>
      <c r="K24" s="97"/>
      <c r="L24" s="97"/>
      <c r="M24" s="97"/>
      <c r="N24" s="97"/>
      <c r="O24" s="97"/>
      <c r="P24" s="97"/>
      <c r="Q24" s="97"/>
      <c r="R24" s="97"/>
      <c r="S24" s="97"/>
      <c r="T24" s="97"/>
      <c r="U24" s="97"/>
    </row>
    <row r="25" spans="1:21">
      <c r="A25" s="3"/>
      <c r="D25" s="90"/>
      <c r="F25" s="97" t="s">
        <v>57</v>
      </c>
      <c r="G25" s="128">
        <f>((D17*(1+(1/3))*(100%+C41))/12)/30</f>
        <v>5.08125866666667</v>
      </c>
      <c r="H25" s="97"/>
      <c r="I25" s="97"/>
      <c r="J25" s="97"/>
      <c r="K25" s="97"/>
      <c r="L25" s="97"/>
      <c r="M25" s="97"/>
      <c r="N25" s="97"/>
      <c r="O25" s="97"/>
      <c r="P25" s="97"/>
      <c r="Q25" s="97"/>
      <c r="R25" s="97"/>
      <c r="S25" s="97"/>
      <c r="T25" s="97"/>
      <c r="U25" s="97"/>
    </row>
    <row r="26" spans="1:21">
      <c r="A26" s="129" t="s">
        <v>58</v>
      </c>
      <c r="B26" s="129"/>
      <c r="C26" s="129"/>
      <c r="D26" s="129"/>
      <c r="F26" s="97"/>
      <c r="G26" s="97"/>
      <c r="H26" s="97"/>
      <c r="I26" s="97"/>
      <c r="J26" s="97"/>
      <c r="K26" s="97"/>
      <c r="L26" s="97"/>
      <c r="M26" s="97"/>
      <c r="N26" s="97"/>
      <c r="O26" s="97"/>
      <c r="P26" s="97"/>
      <c r="Q26" s="97"/>
      <c r="R26" s="97"/>
      <c r="S26" s="97"/>
      <c r="T26" s="97"/>
      <c r="U26" s="97"/>
    </row>
    <row r="27" spans="1:21">
      <c r="A27" s="129" t="s">
        <v>2</v>
      </c>
      <c r="B27" s="129" t="s">
        <v>59</v>
      </c>
      <c r="C27" s="129" t="s">
        <v>60</v>
      </c>
      <c r="D27" s="130" t="s">
        <v>61</v>
      </c>
      <c r="F27" s="97"/>
      <c r="G27" s="97"/>
      <c r="H27" s="97"/>
      <c r="I27" s="97"/>
      <c r="J27" s="97"/>
      <c r="K27" s="97"/>
      <c r="L27" s="97"/>
      <c r="M27" s="97"/>
      <c r="N27" s="97"/>
      <c r="O27" s="97"/>
      <c r="P27" s="97"/>
      <c r="Q27" s="97"/>
      <c r="R27" s="97"/>
      <c r="S27" s="97"/>
      <c r="T27" s="97"/>
      <c r="U27" s="97"/>
    </row>
    <row r="28" ht="30" spans="1:21">
      <c r="A28" s="4" t="s">
        <v>28</v>
      </c>
      <c r="B28" s="131" t="s">
        <v>62</v>
      </c>
      <c r="C28" s="2" t="s">
        <v>63</v>
      </c>
      <c r="D28" s="131" t="s">
        <v>64</v>
      </c>
      <c r="F28" s="97"/>
      <c r="G28" s="97"/>
      <c r="H28" s="97"/>
      <c r="I28" s="97"/>
      <c r="J28" s="97"/>
      <c r="K28" s="97"/>
      <c r="L28" s="97"/>
      <c r="M28" s="97"/>
      <c r="N28" s="97"/>
      <c r="O28" s="97"/>
      <c r="P28" s="97"/>
      <c r="Q28" s="97"/>
      <c r="R28" s="97"/>
      <c r="S28" s="97"/>
      <c r="T28" s="97"/>
      <c r="U28" s="97"/>
    </row>
    <row r="29" spans="1:21">
      <c r="A29" s="4" t="s">
        <v>31</v>
      </c>
      <c r="B29" s="132" t="s">
        <v>55</v>
      </c>
      <c r="C29" s="2" t="s">
        <v>63</v>
      </c>
      <c r="D29" s="131" t="s">
        <v>65</v>
      </c>
      <c r="F29" s="97"/>
      <c r="G29" s="97"/>
      <c r="H29" s="97"/>
      <c r="I29" s="97"/>
      <c r="J29" s="97"/>
      <c r="K29" s="97"/>
      <c r="L29" s="97"/>
      <c r="M29" s="97"/>
      <c r="N29" s="97"/>
      <c r="O29" s="97"/>
      <c r="P29" s="97"/>
      <c r="Q29" s="97"/>
      <c r="R29" s="97"/>
      <c r="S29" s="97"/>
      <c r="T29" s="97"/>
      <c r="U29" s="97"/>
    </row>
    <row r="30" spans="1:21">
      <c r="A30" s="3"/>
      <c r="B30" s="3"/>
      <c r="C30" s="100"/>
      <c r="F30" s="97"/>
      <c r="G30" s="97"/>
      <c r="H30" s="97"/>
      <c r="I30" s="97"/>
      <c r="J30" s="97"/>
      <c r="K30" s="97"/>
      <c r="L30" s="97"/>
      <c r="M30" s="97"/>
      <c r="N30" s="97"/>
      <c r="O30" s="97"/>
      <c r="P30" s="97"/>
      <c r="Q30" s="97"/>
      <c r="R30" s="97"/>
      <c r="S30" s="97"/>
      <c r="T30" s="97"/>
      <c r="U30" s="97"/>
    </row>
    <row r="31" spans="1:4">
      <c r="A31" s="1" t="s">
        <v>66</v>
      </c>
      <c r="B31" s="1"/>
      <c r="C31" s="1"/>
      <c r="D31" s="1"/>
    </row>
    <row r="32" spans="1:4">
      <c r="A32" s="3" t="s">
        <v>67</v>
      </c>
      <c r="B32" t="s">
        <v>68</v>
      </c>
      <c r="C32" s="3" t="s">
        <v>24</v>
      </c>
      <c r="D32" s="3" t="s">
        <v>69</v>
      </c>
    </row>
    <row r="33" spans="1:4">
      <c r="A33" s="3" t="s">
        <v>28</v>
      </c>
      <c r="B33" t="s">
        <v>70</v>
      </c>
      <c r="C33" s="101">
        <v>0.2</v>
      </c>
      <c r="D33" s="90">
        <f>C33*(Módulo13[[#Totals],[Valor]]+Submódulo2.14[[#Totals],[Valor]])</f>
        <v>222.862222222222</v>
      </c>
    </row>
    <row r="34" spans="1:4">
      <c r="A34" s="3" t="s">
        <v>31</v>
      </c>
      <c r="B34" t="s">
        <v>71</v>
      </c>
      <c r="C34" s="101">
        <v>0.025</v>
      </c>
      <c r="D34" s="90">
        <f>C34*(Módulo13[[#Totals],[Valor]]+Submódulo2.14[[#Totals],[Valor]])</f>
        <v>27.8577777777778</v>
      </c>
    </row>
    <row r="35" spans="1:4">
      <c r="A35" s="3" t="s">
        <v>34</v>
      </c>
      <c r="B35" t="s">
        <v>72</v>
      </c>
      <c r="C35" s="101">
        <f>Servente!G6</f>
        <v>0.03</v>
      </c>
      <c r="D35" s="90">
        <f>C35*(Módulo13[[#Totals],[Valor]]+Submódulo2.14[[#Totals],[Valor]])</f>
        <v>33.4293333333333</v>
      </c>
    </row>
    <row r="36" spans="1:4">
      <c r="A36" s="3" t="s">
        <v>36</v>
      </c>
      <c r="B36" t="s">
        <v>73</v>
      </c>
      <c r="C36" s="101">
        <v>0.015</v>
      </c>
      <c r="D36" s="90">
        <f>C36*(Módulo13[[#Totals],[Valor]]+Submódulo2.14[[#Totals],[Valor]])</f>
        <v>16.7146666666667</v>
      </c>
    </row>
    <row r="37" spans="1:4">
      <c r="A37" s="3" t="s">
        <v>39</v>
      </c>
      <c r="B37" t="s">
        <v>74</v>
      </c>
      <c r="C37" s="101">
        <v>0.01</v>
      </c>
      <c r="D37" s="90">
        <f>C37*(Módulo13[[#Totals],[Valor]]+Submódulo2.14[[#Totals],[Valor]])</f>
        <v>11.1431111111111</v>
      </c>
    </row>
    <row r="38" spans="1:4">
      <c r="A38" s="3" t="s">
        <v>41</v>
      </c>
      <c r="B38" t="s">
        <v>75</v>
      </c>
      <c r="C38" s="101">
        <v>0.006</v>
      </c>
      <c r="D38" s="90">
        <f>C38*(Módulo13[[#Totals],[Valor]]+Submódulo2.14[[#Totals],[Valor]])</f>
        <v>6.68586666666667</v>
      </c>
    </row>
    <row r="39" spans="1:4">
      <c r="A39" s="3" t="s">
        <v>76</v>
      </c>
      <c r="B39" t="s">
        <v>77</v>
      </c>
      <c r="C39" s="101">
        <v>0.002</v>
      </c>
      <c r="D39" s="90">
        <f>C39*(Módulo13[[#Totals],[Valor]]+Submódulo2.14[[#Totals],[Valor]])</f>
        <v>2.22862222222222</v>
      </c>
    </row>
    <row r="40" spans="1:4">
      <c r="A40" s="3" t="s">
        <v>78</v>
      </c>
      <c r="B40" t="s">
        <v>79</v>
      </c>
      <c r="C40" s="101">
        <v>0.08</v>
      </c>
      <c r="D40" s="90">
        <f>C40*(Módulo13[[#Totals],[Valor]]+Submódulo2.14[[#Totals],[Valor]])</f>
        <v>89.1448888888889</v>
      </c>
    </row>
    <row r="41" spans="1:4">
      <c r="A41" s="3" t="s">
        <v>44</v>
      </c>
      <c r="C41" s="104">
        <v>0.368</v>
      </c>
      <c r="D41" s="90">
        <f>SUBTOTAL(109,Submódulo2.26[Valor ])</f>
        <v>410.066488888889</v>
      </c>
    </row>
    <row r="42" spans="1:4">
      <c r="A42" s="3"/>
      <c r="C42" s="104"/>
      <c r="D42" s="90"/>
    </row>
    <row r="43" spans="1:4">
      <c r="A43" s="129" t="s">
        <v>80</v>
      </c>
      <c r="B43" s="129"/>
      <c r="C43" s="129"/>
      <c r="D43" s="129"/>
    </row>
    <row r="44" spans="1:4">
      <c r="A44" s="129" t="s">
        <v>2</v>
      </c>
      <c r="B44" s="129" t="s">
        <v>59</v>
      </c>
      <c r="C44" s="129" t="s">
        <v>60</v>
      </c>
      <c r="D44" s="130" t="s">
        <v>61</v>
      </c>
    </row>
    <row r="45" ht="30" spans="1:4">
      <c r="A45" s="4" t="s">
        <v>81</v>
      </c>
      <c r="B45" s="131" t="s">
        <v>68</v>
      </c>
      <c r="C45" s="131" t="s">
        <v>82</v>
      </c>
      <c r="D45" s="131" t="s">
        <v>83</v>
      </c>
    </row>
    <row r="47" spans="1:4">
      <c r="A47" s="1" t="s">
        <v>84</v>
      </c>
      <c r="B47" s="1"/>
      <c r="C47" s="1"/>
      <c r="D47" s="1"/>
    </row>
    <row r="48" spans="1:4">
      <c r="A48" s="3" t="s">
        <v>85</v>
      </c>
      <c r="B48" t="s">
        <v>86</v>
      </c>
      <c r="C48" s="3" t="s">
        <v>4</v>
      </c>
      <c r="D48" s="3" t="s">
        <v>5</v>
      </c>
    </row>
    <row r="49" spans="1:4">
      <c r="A49" s="3" t="s">
        <v>28</v>
      </c>
      <c r="B49" t="s">
        <v>87</v>
      </c>
      <c r="D49" s="90">
        <v>107.0272</v>
      </c>
    </row>
    <row r="50" spans="1:4">
      <c r="A50" s="3" t="s">
        <v>31</v>
      </c>
      <c r="B50" t="s">
        <v>88</v>
      </c>
      <c r="D50" s="90">
        <f>(Servente!G4*Servente!G5)*80%</f>
        <v>246.4</v>
      </c>
    </row>
    <row r="51" spans="1:4">
      <c r="A51" s="3" t="s">
        <v>34</v>
      </c>
      <c r="B51" t="s">
        <v>89</v>
      </c>
      <c r="D51" s="90"/>
    </row>
    <row r="52" spans="1:4">
      <c r="A52" s="3" t="s">
        <v>36</v>
      </c>
      <c r="B52" t="s">
        <v>90</v>
      </c>
      <c r="C52" t="s">
        <v>91</v>
      </c>
      <c r="D52" s="90">
        <v>4</v>
      </c>
    </row>
    <row r="53" spans="1:4">
      <c r="A53" s="3" t="s">
        <v>39</v>
      </c>
      <c r="B53" t="s">
        <v>92</v>
      </c>
      <c r="C53" t="s">
        <v>93</v>
      </c>
      <c r="D53" s="90">
        <v>15</v>
      </c>
    </row>
    <row r="54" spans="1:4">
      <c r="A54" s="3" t="s">
        <v>44</v>
      </c>
      <c r="D54" s="90">
        <v>372.4272</v>
      </c>
    </row>
    <row r="55" spans="1:4">
      <c r="A55" s="3"/>
      <c r="D55" s="90"/>
    </row>
    <row r="56" spans="1:4">
      <c r="A56" s="129" t="s">
        <v>94</v>
      </c>
      <c r="B56" s="129"/>
      <c r="C56" s="129"/>
      <c r="D56" s="129"/>
    </row>
    <row r="57" spans="1:4">
      <c r="A57" s="129" t="s">
        <v>2</v>
      </c>
      <c r="B57" s="129" t="s">
        <v>59</v>
      </c>
      <c r="C57" s="129" t="s">
        <v>60</v>
      </c>
      <c r="D57" s="129" t="s">
        <v>61</v>
      </c>
    </row>
    <row r="58" ht="45" spans="1:4">
      <c r="A58" s="4" t="s">
        <v>28</v>
      </c>
      <c r="B58" s="131" t="s">
        <v>87</v>
      </c>
      <c r="C58" s="2" t="s">
        <v>95</v>
      </c>
      <c r="D58" s="2" t="s">
        <v>96</v>
      </c>
    </row>
    <row r="59" ht="30" spans="1:4">
      <c r="A59" s="4" t="s">
        <v>31</v>
      </c>
      <c r="B59" s="132" t="s">
        <v>88</v>
      </c>
      <c r="C59" s="2" t="s">
        <v>95</v>
      </c>
      <c r="D59" s="2" t="s">
        <v>97</v>
      </c>
    </row>
    <row r="60" ht="19.5" customHeight="1" spans="1:4">
      <c r="A60" s="3"/>
      <c r="D60" s="90"/>
    </row>
    <row r="61" spans="1:4">
      <c r="A61" s="1" t="s">
        <v>98</v>
      </c>
      <c r="B61" s="1"/>
      <c r="C61" s="1"/>
      <c r="D61" s="1"/>
    </row>
    <row r="62" spans="1:4">
      <c r="A62" s="3" t="s">
        <v>99</v>
      </c>
      <c r="B62" t="s">
        <v>100</v>
      </c>
      <c r="C62" s="3" t="s">
        <v>4</v>
      </c>
      <c r="D62" s="3" t="s">
        <v>5</v>
      </c>
    </row>
    <row r="63" spans="1:4">
      <c r="A63" s="3" t="s">
        <v>51</v>
      </c>
      <c r="B63" t="s">
        <v>52</v>
      </c>
      <c r="C63" s="3"/>
      <c r="D63" s="90">
        <f>Submódulo2.14[[#Totals],[Valor]]</f>
        <v>111.431111111111</v>
      </c>
    </row>
    <row r="64" spans="1:4">
      <c r="A64" s="3" t="s">
        <v>67</v>
      </c>
      <c r="B64" t="s">
        <v>68</v>
      </c>
      <c r="C64" s="3"/>
      <c r="D64" s="90">
        <f>Submódulo2.26[[#Totals],[Valor ]]</f>
        <v>410.066488888889</v>
      </c>
    </row>
    <row r="65" spans="1:4">
      <c r="A65" s="3" t="s">
        <v>85</v>
      </c>
      <c r="B65" t="s">
        <v>86</v>
      </c>
      <c r="C65" s="3"/>
      <c r="D65" s="90">
        <f>Submódulo2.38[[#Totals],[Valor]]</f>
        <v>372.4272</v>
      </c>
    </row>
    <row r="66" spans="1:4">
      <c r="A66" s="3" t="s">
        <v>44</v>
      </c>
      <c r="C66" s="3"/>
      <c r="D66" s="90">
        <f>SUBTOTAL(109,ResumoMódulo29[Valor])</f>
        <v>893.9248</v>
      </c>
    </row>
    <row r="68" spans="1:4">
      <c r="A68" s="85" t="s">
        <v>101</v>
      </c>
      <c r="B68" s="85"/>
      <c r="C68" s="85"/>
      <c r="D68" s="85"/>
    </row>
    <row r="69" spans="1:4">
      <c r="A69" s="3" t="s">
        <v>102</v>
      </c>
      <c r="B69" t="s">
        <v>103</v>
      </c>
      <c r="C69" s="3" t="s">
        <v>4</v>
      </c>
      <c r="D69" s="3" t="s">
        <v>5</v>
      </c>
    </row>
    <row r="70" spans="1:4">
      <c r="A70" s="3" t="s">
        <v>28</v>
      </c>
      <c r="B70" t="s">
        <v>104</v>
      </c>
      <c r="D70" s="90">
        <f>((Módulo13[[#Totals],[Valor]]+D63+D65)/12)*G10</f>
        <v>53.7332004607407</v>
      </c>
    </row>
    <row r="71" spans="1:4">
      <c r="A71" s="3" t="s">
        <v>31</v>
      </c>
      <c r="B71" t="s">
        <v>105</v>
      </c>
      <c r="D71" s="90">
        <f>(D40/12)*Servente!G10</f>
        <v>3.22184485925926</v>
      </c>
    </row>
    <row r="72" spans="1:4">
      <c r="A72" s="3" t="s">
        <v>34</v>
      </c>
      <c r="B72" t="s">
        <v>106</v>
      </c>
      <c r="D72" s="90">
        <f>D40*50%*Servente!G10</f>
        <v>19.3310691555556</v>
      </c>
    </row>
    <row r="73" spans="1:4">
      <c r="A73" s="3" t="s">
        <v>36</v>
      </c>
      <c r="B73" t="s">
        <v>107</v>
      </c>
      <c r="D73" s="90">
        <f>((Módulo13[[#Totals],[Valor]]+ResumoMódulo29[[#Totals],[Valor]])/12)*G11</f>
        <v>68.5536868133333</v>
      </c>
    </row>
    <row r="74" spans="1:4">
      <c r="A74" s="3" t="s">
        <v>39</v>
      </c>
      <c r="B74" t="s">
        <v>108</v>
      </c>
      <c r="D74" s="90">
        <f>D40*50%*Servente!G11</f>
        <v>19.3310691555556</v>
      </c>
    </row>
    <row r="75" spans="1:4">
      <c r="A75" s="3" t="s">
        <v>41</v>
      </c>
      <c r="B75" t="s">
        <v>109</v>
      </c>
      <c r="D75" s="90">
        <f>-D63*Servente!G12</f>
        <v>-2.42919822222222</v>
      </c>
    </row>
    <row r="76" spans="1:4">
      <c r="A76" s="3" t="s">
        <v>44</v>
      </c>
      <c r="D76" s="90">
        <f>SUBTOTAL(109,Módulo324[Valor])</f>
        <v>161.741672222222</v>
      </c>
    </row>
    <row r="77" spans="1:4">
      <c r="A77" s="3"/>
      <c r="D77" s="90"/>
    </row>
    <row r="78" spans="1:4">
      <c r="A78" s="129" t="s">
        <v>110</v>
      </c>
      <c r="B78" s="129"/>
      <c r="C78" s="129"/>
      <c r="D78" s="129"/>
    </row>
    <row r="79" spans="1:4">
      <c r="A79" s="129" t="s">
        <v>2</v>
      </c>
      <c r="B79" s="129" t="s">
        <v>59</v>
      </c>
      <c r="C79" s="129" t="s">
        <v>60</v>
      </c>
      <c r="D79" s="129" t="s">
        <v>61</v>
      </c>
    </row>
    <row r="80" ht="60" spans="1:4">
      <c r="A80" s="4" t="s">
        <v>28</v>
      </c>
      <c r="B80" s="131" t="s">
        <v>104</v>
      </c>
      <c r="C80" s="2" t="s">
        <v>111</v>
      </c>
      <c r="D80" s="2" t="s">
        <v>112</v>
      </c>
    </row>
    <row r="81" ht="60" spans="1:4">
      <c r="A81" s="4" t="s">
        <v>31</v>
      </c>
      <c r="B81" s="132" t="s">
        <v>105</v>
      </c>
      <c r="C81" s="2" t="s">
        <v>113</v>
      </c>
      <c r="D81" s="2" t="s">
        <v>112</v>
      </c>
    </row>
    <row r="82" ht="75" spans="1:4">
      <c r="A82" s="4" t="s">
        <v>34</v>
      </c>
      <c r="B82" s="132" t="s">
        <v>106</v>
      </c>
      <c r="C82" s="2" t="s">
        <v>113</v>
      </c>
      <c r="D82" s="133" t="s">
        <v>114</v>
      </c>
    </row>
    <row r="83" ht="60" spans="1:4">
      <c r="A83" s="4" t="s">
        <v>36</v>
      </c>
      <c r="B83" s="134" t="s">
        <v>107</v>
      </c>
      <c r="C83" s="2" t="s">
        <v>115</v>
      </c>
      <c r="D83" s="133" t="s">
        <v>116</v>
      </c>
    </row>
    <row r="84" ht="75" spans="1:4">
      <c r="A84" s="4" t="s">
        <v>39</v>
      </c>
      <c r="B84" s="134" t="s">
        <v>108</v>
      </c>
      <c r="C84" s="2" t="s">
        <v>113</v>
      </c>
      <c r="D84" s="133" t="s">
        <v>117</v>
      </c>
    </row>
    <row r="85" ht="60" spans="1:4">
      <c r="A85" s="4" t="s">
        <v>41</v>
      </c>
      <c r="B85" s="134" t="s">
        <v>109</v>
      </c>
      <c r="C85" s="2" t="s">
        <v>118</v>
      </c>
      <c r="D85" s="133" t="s">
        <v>119</v>
      </c>
    </row>
    <row r="87" spans="1:4">
      <c r="A87" s="108" t="s">
        <v>120</v>
      </c>
      <c r="B87" s="91"/>
      <c r="C87" s="91"/>
      <c r="D87" s="91"/>
    </row>
    <row r="88" spans="1:4">
      <c r="A88" s="109" t="s">
        <v>121</v>
      </c>
      <c r="B88" s="109"/>
      <c r="C88" s="109"/>
      <c r="D88" s="109"/>
    </row>
    <row r="89" spans="1:4">
      <c r="A89" s="3" t="s">
        <v>122</v>
      </c>
      <c r="B89" t="s">
        <v>123</v>
      </c>
      <c r="C89" s="3" t="s">
        <v>124</v>
      </c>
      <c r="D89" s="3" t="s">
        <v>5</v>
      </c>
    </row>
    <row r="90" spans="1:5">
      <c r="A90" s="3" t="s">
        <v>28</v>
      </c>
      <c r="B90" t="s">
        <v>125</v>
      </c>
      <c r="C90" s="3">
        <v>30</v>
      </c>
      <c r="D90" s="90">
        <f t="shared" ref="D90:D95" si="0">(C90*G$24)/12</f>
        <v>136.558826666667</v>
      </c>
      <c r="E90" s="93"/>
    </row>
    <row r="91" spans="1:5">
      <c r="A91" s="3" t="s">
        <v>31</v>
      </c>
      <c r="B91" t="s">
        <v>126</v>
      </c>
      <c r="C91" s="3">
        <v>1.4181</v>
      </c>
      <c r="D91" s="90">
        <f t="shared" si="0"/>
        <v>6.45513573653333</v>
      </c>
      <c r="E91" s="93"/>
    </row>
    <row r="92" spans="1:5">
      <c r="A92" s="3" t="s">
        <v>34</v>
      </c>
      <c r="B92" t="s">
        <v>127</v>
      </c>
      <c r="C92" s="3">
        <v>0.1898</v>
      </c>
      <c r="D92" s="90">
        <f t="shared" si="0"/>
        <v>0.863962176711111</v>
      </c>
      <c r="E92" s="93"/>
    </row>
    <row r="93" spans="1:5">
      <c r="A93" s="3" t="s">
        <v>36</v>
      </c>
      <c r="B93" t="s">
        <v>128</v>
      </c>
      <c r="C93" s="3">
        <v>0.9545</v>
      </c>
      <c r="D93" s="90">
        <f t="shared" si="0"/>
        <v>4.34484666844444</v>
      </c>
      <c r="E93" s="93"/>
    </row>
    <row r="94" spans="1:5">
      <c r="A94" s="3" t="s">
        <v>39</v>
      </c>
      <c r="B94" t="s">
        <v>129</v>
      </c>
      <c r="C94" s="3">
        <v>2.4723</v>
      </c>
      <c r="D94" s="90">
        <f>(C94*G$25)/12</f>
        <v>1.0468663168</v>
      </c>
      <c r="E94" s="93"/>
    </row>
    <row r="95" spans="1:5">
      <c r="A95" s="3" t="s">
        <v>41</v>
      </c>
      <c r="B95" t="s">
        <v>130</v>
      </c>
      <c r="C95" s="3">
        <v>3.4521</v>
      </c>
      <c r="D95" s="90">
        <f t="shared" si="0"/>
        <v>15.7138241845333</v>
      </c>
      <c r="E95" s="93"/>
    </row>
    <row r="96" spans="1:4">
      <c r="A96" s="3" t="s">
        <v>44</v>
      </c>
      <c r="C96" s="3">
        <f>SUBTOTAL(109,Submódulo4.125[Dias de ausência])</f>
        <v>38.4868</v>
      </c>
      <c r="D96" s="90">
        <f>SUBTOTAL(109,Submódulo4.125[Valor])</f>
        <v>164.983461749689</v>
      </c>
    </row>
    <row r="97" spans="1:4">
      <c r="A97" s="3"/>
      <c r="C97" s="3"/>
      <c r="D97" s="90"/>
    </row>
    <row r="98" spans="1:4">
      <c r="A98" s="129" t="s">
        <v>131</v>
      </c>
      <c r="B98" s="129"/>
      <c r="C98" s="129"/>
      <c r="D98" s="129"/>
    </row>
    <row r="99" spans="1:4">
      <c r="A99" s="129" t="s">
        <v>2</v>
      </c>
      <c r="B99" s="129" t="s">
        <v>59</v>
      </c>
      <c r="C99" s="129" t="s">
        <v>60</v>
      </c>
      <c r="D99" s="129" t="s">
        <v>61</v>
      </c>
    </row>
    <row r="100" spans="1:4">
      <c r="A100" s="4" t="s">
        <v>132</v>
      </c>
      <c r="B100" s="131" t="s">
        <v>133</v>
      </c>
      <c r="C100" s="2"/>
      <c r="D100" s="2"/>
    </row>
    <row r="101" ht="60" spans="1:4">
      <c r="A101" s="4" t="s">
        <v>134</v>
      </c>
      <c r="B101" s="132" t="s">
        <v>135</v>
      </c>
      <c r="C101" s="2" t="s">
        <v>136</v>
      </c>
      <c r="D101" s="2" t="s">
        <v>137</v>
      </c>
    </row>
    <row r="102" ht="60" spans="1:4">
      <c r="A102" s="4" t="s">
        <v>39</v>
      </c>
      <c r="B102" s="132" t="s">
        <v>138</v>
      </c>
      <c r="C102" s="2" t="s">
        <v>139</v>
      </c>
      <c r="D102" s="2" t="s">
        <v>137</v>
      </c>
    </row>
    <row r="103" spans="1:4">
      <c r="A103" s="3"/>
      <c r="C103" s="3"/>
      <c r="D103" s="90"/>
    </row>
    <row r="104" spans="1:4">
      <c r="A104" s="1" t="s">
        <v>140</v>
      </c>
      <c r="B104" s="1"/>
      <c r="C104" s="1"/>
      <c r="D104" s="1"/>
    </row>
    <row r="105" spans="1:4">
      <c r="A105" s="3" t="s">
        <v>141</v>
      </c>
      <c r="B105" t="s">
        <v>142</v>
      </c>
      <c r="C105" s="3" t="s">
        <v>4</v>
      </c>
      <c r="D105" s="3" t="s">
        <v>5</v>
      </c>
    </row>
    <row r="106" spans="1:4">
      <c r="A106" s="3" t="s">
        <v>28</v>
      </c>
      <c r="B106" t="s">
        <v>143</v>
      </c>
      <c r="C106" s="3"/>
      <c r="D106" s="90"/>
    </row>
    <row r="107" spans="1:4">
      <c r="A107" s="3" t="s">
        <v>44</v>
      </c>
      <c r="C107" s="3"/>
      <c r="D107" s="90">
        <f>SUBTOTAL(109,Submódulo4.226[Valor])</f>
        <v>0</v>
      </c>
    </row>
    <row r="109" spans="1:4">
      <c r="A109" s="109" t="s">
        <v>144</v>
      </c>
      <c r="B109" s="109"/>
      <c r="C109" s="109"/>
      <c r="D109" s="109"/>
    </row>
    <row r="110" spans="1:4">
      <c r="A110" s="3" t="s">
        <v>145</v>
      </c>
      <c r="B110" t="s">
        <v>146</v>
      </c>
      <c r="C110" s="3" t="s">
        <v>4</v>
      </c>
      <c r="D110" s="3" t="s">
        <v>5</v>
      </c>
    </row>
    <row r="111" spans="1:4">
      <c r="A111" s="3" t="s">
        <v>122</v>
      </c>
      <c r="B111" t="s">
        <v>123</v>
      </c>
      <c r="D111" s="90">
        <f>Submódulo4.125[[#Totals],[Valor]]</f>
        <v>164.983461749689</v>
      </c>
    </row>
    <row r="112" spans="1:4">
      <c r="A112" s="3" t="s">
        <v>141</v>
      </c>
      <c r="B112" t="s">
        <v>147</v>
      </c>
      <c r="D112" s="90">
        <f>Submódulo4.226[[#Totals],[Valor]]</f>
        <v>0</v>
      </c>
    </row>
    <row r="113" spans="1:4">
      <c r="A113" s="3" t="s">
        <v>44</v>
      </c>
      <c r="D113" s="90">
        <f>SUBTOTAL(109,ResumoMódulo427[Valor])</f>
        <v>164.983461749689</v>
      </c>
    </row>
    <row r="115" spans="1:4">
      <c r="A115" s="85" t="s">
        <v>148</v>
      </c>
      <c r="B115" s="85"/>
      <c r="C115" s="85"/>
      <c r="D115" s="85"/>
    </row>
    <row r="116" spans="1:4">
      <c r="A116" s="3" t="s">
        <v>149</v>
      </c>
      <c r="B116" t="s">
        <v>150</v>
      </c>
      <c r="C116" s="3" t="s">
        <v>4</v>
      </c>
      <c r="D116" s="3" t="s">
        <v>5</v>
      </c>
    </row>
    <row r="117" spans="1:4">
      <c r="A117" s="3" t="s">
        <v>28</v>
      </c>
      <c r="B117" t="s">
        <v>151</v>
      </c>
      <c r="D117" s="90" t="e">
        <f>#REF!</f>
        <v>#REF!</v>
      </c>
    </row>
    <row r="118" spans="1:4">
      <c r="A118" s="3" t="s">
        <v>31</v>
      </c>
      <c r="B118" t="s">
        <v>152</v>
      </c>
      <c r="D118" s="90" t="e">
        <f>Table46[[#Totals],[VALOR TOTAL  (R$)]]/#REF!</f>
        <v>#REF!</v>
      </c>
    </row>
    <row r="119" spans="1:4">
      <c r="A119" s="3" t="s">
        <v>34</v>
      </c>
      <c r="B119" t="s">
        <v>153</v>
      </c>
      <c r="D119" s="90" t="e">
        <f>#REF!/#REF!</f>
        <v>#REF!</v>
      </c>
    </row>
    <row r="120" spans="1:4">
      <c r="A120" s="3" t="s">
        <v>36</v>
      </c>
      <c r="B120" t="s">
        <v>154</v>
      </c>
      <c r="D120" s="90" t="e">
        <f>#REF!</f>
        <v>#REF!</v>
      </c>
    </row>
    <row r="121" spans="1:4">
      <c r="A121" s="3" t="s">
        <v>44</v>
      </c>
      <c r="D121" s="90" t="e">
        <f>SUBTOTAL(109,Módulo528[Valor])</f>
        <v>#REF!</v>
      </c>
    </row>
    <row r="122" spans="1:4">
      <c r="A122" s="3"/>
      <c r="D122" s="90"/>
    </row>
    <row r="123" spans="1:4">
      <c r="A123" s="129" t="s">
        <v>155</v>
      </c>
      <c r="B123" s="129"/>
      <c r="C123" s="129"/>
      <c r="D123" s="129"/>
    </row>
    <row r="124" spans="1:4">
      <c r="A124" s="129" t="s">
        <v>2</v>
      </c>
      <c r="B124" s="129" t="s">
        <v>59</v>
      </c>
      <c r="C124" s="129" t="s">
        <v>60</v>
      </c>
      <c r="D124" s="129" t="s">
        <v>61</v>
      </c>
    </row>
    <row r="125" spans="1:4">
      <c r="A125" s="4" t="s">
        <v>28</v>
      </c>
      <c r="B125" s="131" t="s">
        <v>151</v>
      </c>
      <c r="C125" s="2" t="s">
        <v>156</v>
      </c>
      <c r="D125" s="2"/>
    </row>
    <row r="126" ht="30" spans="1:4">
      <c r="A126" s="4" t="s">
        <v>31</v>
      </c>
      <c r="B126" s="132" t="s">
        <v>152</v>
      </c>
      <c r="C126" s="2" t="s">
        <v>157</v>
      </c>
      <c r="D126" s="2" t="s">
        <v>158</v>
      </c>
    </row>
    <row r="127" ht="30" spans="1:4">
      <c r="A127" s="4" t="s">
        <v>34</v>
      </c>
      <c r="B127" s="132" t="s">
        <v>153</v>
      </c>
      <c r="C127" s="2" t="s">
        <v>159</v>
      </c>
      <c r="D127" s="2" t="s">
        <v>158</v>
      </c>
    </row>
    <row r="128" spans="1:4">
      <c r="A128" s="4" t="s">
        <v>36</v>
      </c>
      <c r="B128" s="132" t="s">
        <v>154</v>
      </c>
      <c r="C128" s="2"/>
      <c r="D128" s="2"/>
    </row>
    <row r="130" spans="1:4">
      <c r="A130" s="85" t="s">
        <v>160</v>
      </c>
      <c r="B130" s="85"/>
      <c r="C130" s="85"/>
      <c r="D130" s="85"/>
    </row>
    <row r="131" outlineLevel="1" spans="1:4">
      <c r="A131" s="3" t="s">
        <v>161</v>
      </c>
      <c r="B131" t="s">
        <v>162</v>
      </c>
      <c r="C131" s="3" t="s">
        <v>24</v>
      </c>
      <c r="D131" s="3" t="s">
        <v>5</v>
      </c>
    </row>
    <row r="132" outlineLevel="1" spans="1:4">
      <c r="A132" s="3" t="s">
        <v>28</v>
      </c>
      <c r="B132" t="s">
        <v>163</v>
      </c>
      <c r="C132" s="101">
        <f>G16</f>
        <v>0.03</v>
      </c>
      <c r="D132" s="90" t="e">
        <f>Módulo629[[#This Row],[Percentual]]*(D143+D144+D145+D146+D147)</f>
        <v>#REF!</v>
      </c>
    </row>
    <row r="133" outlineLevel="1" spans="1:4">
      <c r="A133" s="3" t="s">
        <v>31</v>
      </c>
      <c r="B133" t="s">
        <v>45</v>
      </c>
      <c r="C133" s="101">
        <f>G17</f>
        <v>0.0679</v>
      </c>
      <c r="D133" s="90" t="e">
        <f>(SUM(D143:D147)+D132)*Módulo629[[#This Row],[Percentual]]</f>
        <v>#REF!</v>
      </c>
    </row>
    <row r="134" spans="1:4">
      <c r="A134" s="3" t="s">
        <v>34</v>
      </c>
      <c r="B134" t="s">
        <v>164</v>
      </c>
      <c r="C134" s="101">
        <f>SUM(C135:C137)</f>
        <v>0.1425</v>
      </c>
      <c r="D134" s="90" t="e">
        <f>Módulo629[[#This Row],[Percentual]]*D150</f>
        <v>#REF!</v>
      </c>
    </row>
    <row r="135" spans="1:4">
      <c r="A135" s="3" t="s">
        <v>165</v>
      </c>
      <c r="B135" t="s">
        <v>46</v>
      </c>
      <c r="C135" s="101">
        <f>G18</f>
        <v>0.0165</v>
      </c>
      <c r="D135" s="90" t="e">
        <f>Módulo629[[#This Row],[Percentual]]*D150</f>
        <v>#REF!</v>
      </c>
    </row>
    <row r="136" spans="1:4">
      <c r="A136" s="3" t="s">
        <v>166</v>
      </c>
      <c r="B136" t="s">
        <v>48</v>
      </c>
      <c r="C136" s="101">
        <f>G19</f>
        <v>0.076</v>
      </c>
      <c r="D136" s="90" t="e">
        <f>Módulo629[[#This Row],[Percentual]]*D150</f>
        <v>#REF!</v>
      </c>
    </row>
    <row r="137" spans="1:4">
      <c r="A137" s="3" t="s">
        <v>167</v>
      </c>
      <c r="B137" t="s">
        <v>50</v>
      </c>
      <c r="C137" s="101">
        <f>G20</f>
        <v>0.05</v>
      </c>
      <c r="D137" s="90" t="e">
        <f>Módulo629[[#This Row],[Percentual]]*D150</f>
        <v>#REF!</v>
      </c>
    </row>
    <row r="138" spans="1:4">
      <c r="A138" s="3" t="s">
        <v>44</v>
      </c>
      <c r="C138" s="118"/>
      <c r="D138" s="90" t="e">
        <f>SUM(D132:D134)</f>
        <v>#REF!</v>
      </c>
    </row>
    <row r="139" spans="1:4">
      <c r="A139" s="3"/>
      <c r="C139" s="118"/>
      <c r="D139" s="90"/>
    </row>
    <row r="141" spans="1:4">
      <c r="A141" s="85" t="s">
        <v>168</v>
      </c>
      <c r="B141" s="85"/>
      <c r="C141" s="85"/>
      <c r="D141" s="85"/>
    </row>
    <row r="142" spans="1:4">
      <c r="A142" s="3" t="s">
        <v>2</v>
      </c>
      <c r="B142" s="3" t="s">
        <v>169</v>
      </c>
      <c r="C142" s="3" t="s">
        <v>95</v>
      </c>
      <c r="D142" s="3" t="s">
        <v>5</v>
      </c>
    </row>
    <row r="143" spans="1:4">
      <c r="A143" s="3" t="s">
        <v>28</v>
      </c>
      <c r="B143" t="s">
        <v>22</v>
      </c>
      <c r="D143" s="90">
        <f>Módulo13[[#Totals],[Valor]]</f>
        <v>1002.88</v>
      </c>
    </row>
    <row r="144" spans="1:4">
      <c r="A144" s="3" t="s">
        <v>31</v>
      </c>
      <c r="B144" t="s">
        <v>47</v>
      </c>
      <c r="D144" s="90">
        <f>ResumoMódulo29[[#Totals],[Valor]]</f>
        <v>893.9248</v>
      </c>
    </row>
    <row r="145" spans="1:4">
      <c r="A145" s="3" t="s">
        <v>34</v>
      </c>
      <c r="B145" t="s">
        <v>101</v>
      </c>
      <c r="D145" s="90">
        <f>Módulo324[[#Totals],[Valor]]</f>
        <v>161.741672222222</v>
      </c>
    </row>
    <row r="146" spans="1:4">
      <c r="A146" s="3" t="s">
        <v>36</v>
      </c>
      <c r="B146" t="s">
        <v>170</v>
      </c>
      <c r="D146" s="90">
        <f>ResumoMódulo427[[#Totals],[Valor]]</f>
        <v>164.983461749689</v>
      </c>
    </row>
    <row r="147" spans="1:4">
      <c r="A147" s="3" t="s">
        <v>39</v>
      </c>
      <c r="B147" t="s">
        <v>148</v>
      </c>
      <c r="D147" s="90" t="e">
        <f>Módulo528[[#Totals],[Valor]]</f>
        <v>#REF!</v>
      </c>
    </row>
    <row r="148" spans="1:4">
      <c r="A148" t="s">
        <v>171</v>
      </c>
      <c r="D148" s="90" t="e">
        <f>SUM(D143:D147)</f>
        <v>#REF!</v>
      </c>
    </row>
    <row r="149" spans="1:4">
      <c r="A149" s="3" t="s">
        <v>41</v>
      </c>
      <c r="B149" t="s">
        <v>160</v>
      </c>
      <c r="D149" s="90" t="e">
        <f>Módulo629[[#Totals],[Valor]]</f>
        <v>#REF!</v>
      </c>
    </row>
    <row r="150" spans="1:4">
      <c r="A150" s="71" t="s">
        <v>172</v>
      </c>
      <c r="B150" s="71"/>
      <c r="C150" s="71"/>
      <c r="D150" s="135"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7" t="s">
        <v>0</v>
      </c>
      <c r="B1" s="77"/>
      <c r="C1" s="77"/>
      <c r="D1" s="77"/>
      <c r="F1" s="1" t="s">
        <v>1</v>
      </c>
      <c r="G1" s="1"/>
      <c r="H1" s="97"/>
      <c r="I1" s="97"/>
      <c r="J1" s="97"/>
      <c r="K1" s="97"/>
      <c r="L1" s="97"/>
      <c r="M1" s="97"/>
      <c r="N1" s="97"/>
      <c r="O1" s="97"/>
      <c r="P1" s="97"/>
      <c r="Q1" s="97"/>
      <c r="R1" s="97"/>
      <c r="S1" s="97"/>
      <c r="T1" s="97"/>
      <c r="U1" s="97"/>
    </row>
    <row r="2" spans="1:21">
      <c r="A2" s="3" t="s">
        <v>2</v>
      </c>
      <c r="B2" t="s">
        <v>3</v>
      </c>
      <c r="C2" s="3" t="s">
        <v>4</v>
      </c>
      <c r="D2" s="3" t="s">
        <v>5</v>
      </c>
      <c r="F2" t="s">
        <v>3</v>
      </c>
      <c r="G2" t="s">
        <v>5</v>
      </c>
      <c r="H2" s="97"/>
      <c r="I2" s="97"/>
      <c r="J2" s="97"/>
      <c r="K2" s="97"/>
      <c r="L2" s="97"/>
      <c r="M2" s="97"/>
      <c r="N2" s="97"/>
      <c r="O2" s="97"/>
      <c r="P2" s="97"/>
      <c r="Q2" s="97"/>
      <c r="R2" s="97"/>
      <c r="S2" s="97"/>
      <c r="T2" s="97"/>
      <c r="U2" s="97"/>
    </row>
    <row r="3" spans="1:21">
      <c r="A3" s="3">
        <v>1</v>
      </c>
      <c r="B3" t="s">
        <v>6</v>
      </c>
      <c r="C3" s="3"/>
      <c r="D3" s="3" t="s">
        <v>7</v>
      </c>
      <c r="F3" t="s">
        <v>8</v>
      </c>
      <c r="G3" s="121">
        <v>3.8</v>
      </c>
      <c r="H3" s="97"/>
      <c r="I3" s="97"/>
      <c r="J3" s="97"/>
      <c r="K3" s="97"/>
      <c r="L3" s="97"/>
      <c r="M3" s="97"/>
      <c r="N3" s="97"/>
      <c r="O3" s="97"/>
      <c r="P3" s="97"/>
      <c r="Q3" s="97"/>
      <c r="R3" s="97"/>
      <c r="S3" s="97"/>
      <c r="T3" s="97"/>
      <c r="U3" s="97"/>
    </row>
    <row r="4" spans="1:21">
      <c r="A4" s="3">
        <v>2</v>
      </c>
      <c r="B4" t="s">
        <v>9</v>
      </c>
      <c r="C4" s="3"/>
      <c r="D4" s="3" t="s">
        <v>10</v>
      </c>
      <c r="F4" t="s">
        <v>11</v>
      </c>
      <c r="G4" s="121">
        <v>14</v>
      </c>
      <c r="H4" s="97"/>
      <c r="I4" s="97"/>
      <c r="J4" s="97"/>
      <c r="K4" s="97"/>
      <c r="L4" s="97"/>
      <c r="M4" s="97"/>
      <c r="N4" s="97"/>
      <c r="O4" s="97"/>
      <c r="P4" s="97"/>
      <c r="Q4" s="97"/>
      <c r="R4" s="97"/>
      <c r="S4" s="97"/>
      <c r="T4" s="97"/>
      <c r="U4" s="97"/>
    </row>
    <row r="5" spans="1:21">
      <c r="A5" s="3">
        <v>3</v>
      </c>
      <c r="B5" t="s">
        <v>12</v>
      </c>
      <c r="C5" s="3" t="s">
        <v>13</v>
      </c>
      <c r="D5" s="122">
        <v>1206.74</v>
      </c>
      <c r="F5" t="s">
        <v>14</v>
      </c>
      <c r="G5" s="123">
        <v>22</v>
      </c>
      <c r="H5" s="97"/>
      <c r="I5" s="97"/>
      <c r="J5" s="97"/>
      <c r="K5" s="97"/>
      <c r="L5" s="97"/>
      <c r="M5" s="97"/>
      <c r="N5" s="97"/>
      <c r="O5" s="97"/>
      <c r="P5" s="97"/>
      <c r="Q5" s="97"/>
      <c r="R5" s="97"/>
      <c r="S5" s="97"/>
      <c r="T5" s="97"/>
      <c r="U5" s="97"/>
    </row>
    <row r="6" spans="1:21">
      <c r="A6" s="3">
        <v>4</v>
      </c>
      <c r="B6" t="s">
        <v>15</v>
      </c>
      <c r="C6" s="3" t="s">
        <v>16</v>
      </c>
      <c r="D6" s="3" t="s">
        <v>173</v>
      </c>
      <c r="F6" t="s">
        <v>18</v>
      </c>
      <c r="G6" s="124">
        <v>0.03</v>
      </c>
      <c r="H6" s="97"/>
      <c r="I6" s="97"/>
      <c r="J6" s="97"/>
      <c r="K6" s="97"/>
      <c r="L6" s="97"/>
      <c r="M6" s="97"/>
      <c r="N6" s="97"/>
      <c r="O6" s="97"/>
      <c r="P6" s="97"/>
      <c r="Q6" s="97"/>
      <c r="R6" s="97"/>
      <c r="S6" s="97"/>
      <c r="T6" s="97"/>
      <c r="U6" s="97"/>
    </row>
    <row r="7" spans="1:21">
      <c r="A7" s="3">
        <v>5</v>
      </c>
      <c r="B7" t="s">
        <v>19</v>
      </c>
      <c r="C7" s="3"/>
      <c r="D7" s="3" t="s">
        <v>20</v>
      </c>
      <c r="H7" s="97"/>
      <c r="I7" s="97"/>
      <c r="J7" s="97"/>
      <c r="K7" s="97"/>
      <c r="L7" s="97"/>
      <c r="M7" s="97"/>
      <c r="N7" s="97"/>
      <c r="O7" s="97"/>
      <c r="P7" s="97"/>
      <c r="Q7" s="97"/>
      <c r="R7" s="97"/>
      <c r="S7" s="97"/>
      <c r="T7" s="97"/>
      <c r="U7" s="97"/>
    </row>
    <row r="8" spans="6:21">
      <c r="F8" s="1" t="s">
        <v>21</v>
      </c>
      <c r="G8" s="1"/>
      <c r="H8" s="97"/>
      <c r="I8" s="97"/>
      <c r="J8" s="97"/>
      <c r="K8" s="97"/>
      <c r="L8" s="97"/>
      <c r="M8" s="97"/>
      <c r="N8" s="97"/>
      <c r="O8" s="97"/>
      <c r="P8" s="97"/>
      <c r="Q8" s="97"/>
      <c r="R8" s="97"/>
      <c r="S8" s="97"/>
      <c r="T8" s="97"/>
      <c r="U8" s="97"/>
    </row>
    <row r="9" spans="1:21">
      <c r="A9" s="85" t="s">
        <v>22</v>
      </c>
      <c r="B9" s="85"/>
      <c r="C9" s="85"/>
      <c r="D9" s="85"/>
      <c r="F9" t="s">
        <v>23</v>
      </c>
      <c r="G9" t="s">
        <v>24</v>
      </c>
      <c r="H9" s="97"/>
      <c r="I9" s="97"/>
      <c r="J9" s="97"/>
      <c r="K9" s="97"/>
      <c r="L9" s="97"/>
      <c r="M9" s="97"/>
      <c r="N9" s="97"/>
      <c r="O9" s="97"/>
      <c r="P9" s="97"/>
      <c r="Q9" s="97"/>
      <c r="R9" s="97"/>
      <c r="S9" s="97"/>
      <c r="T9" s="97"/>
      <c r="U9" s="97"/>
    </row>
    <row r="10" spans="1:21">
      <c r="A10" s="3" t="s">
        <v>25</v>
      </c>
      <c r="B10" t="s">
        <v>26</v>
      </c>
      <c r="C10" s="3" t="s">
        <v>4</v>
      </c>
      <c r="D10" s="3" t="s">
        <v>5</v>
      </c>
      <c r="F10" t="s">
        <v>27</v>
      </c>
      <c r="G10" s="125">
        <v>0.4337</v>
      </c>
      <c r="H10" s="97"/>
      <c r="I10" s="97"/>
      <c r="J10" s="97"/>
      <c r="K10" s="97"/>
      <c r="L10" s="97"/>
      <c r="M10" s="97"/>
      <c r="N10" s="97"/>
      <c r="O10" s="97"/>
      <c r="P10" s="97"/>
      <c r="Q10" s="97"/>
      <c r="R10" s="97"/>
      <c r="S10" s="97"/>
      <c r="T10" s="97"/>
      <c r="U10" s="97"/>
    </row>
    <row r="11" spans="1:21">
      <c r="A11" s="3" t="s">
        <v>28</v>
      </c>
      <c r="B11" t="s">
        <v>29</v>
      </c>
      <c r="C11" s="3"/>
      <c r="D11" s="90">
        <f>Salário_Normativo_da_Categoria_Profissional</f>
        <v>1206.74</v>
      </c>
      <c r="F11" t="s">
        <v>30</v>
      </c>
      <c r="G11" s="125">
        <v>0.4337</v>
      </c>
      <c r="H11" s="97"/>
      <c r="I11" s="97"/>
      <c r="J11" s="97"/>
      <c r="K11" s="97"/>
      <c r="L11" s="97"/>
      <c r="M11" s="97"/>
      <c r="N11" s="97"/>
      <c r="O11" s="97"/>
      <c r="P11" s="97"/>
      <c r="Q11" s="97"/>
      <c r="R11" s="97"/>
      <c r="S11" s="97"/>
      <c r="T11" s="97"/>
      <c r="U11" s="97"/>
    </row>
    <row r="12" spans="1:21">
      <c r="A12" s="3" t="s">
        <v>31</v>
      </c>
      <c r="B12" t="s">
        <v>32</v>
      </c>
      <c r="C12" s="3"/>
      <c r="D12" s="90"/>
      <c r="F12" t="s">
        <v>33</v>
      </c>
      <c r="G12" s="125">
        <v>0.0218</v>
      </c>
      <c r="H12" s="97"/>
      <c r="I12" s="97"/>
      <c r="J12" s="97"/>
      <c r="K12" s="97"/>
      <c r="L12" s="97"/>
      <c r="M12" s="97"/>
      <c r="N12" s="97"/>
      <c r="O12" s="97"/>
      <c r="P12" s="97"/>
      <c r="Q12" s="97"/>
      <c r="R12" s="97"/>
      <c r="S12" s="97"/>
      <c r="T12" s="97"/>
      <c r="U12" s="97"/>
    </row>
    <row r="13" spans="1:21">
      <c r="A13" s="3" t="s">
        <v>34</v>
      </c>
      <c r="B13" t="s">
        <v>35</v>
      </c>
      <c r="C13" s="3"/>
      <c r="D13" s="90"/>
      <c r="H13" s="97"/>
      <c r="I13" s="97"/>
      <c r="J13" s="97"/>
      <c r="K13" s="97"/>
      <c r="L13" s="97"/>
      <c r="M13" s="97"/>
      <c r="N13" s="97"/>
      <c r="O13" s="97"/>
      <c r="P13" s="97"/>
      <c r="Q13" s="97"/>
      <c r="R13" s="97"/>
      <c r="S13" s="97"/>
      <c r="T13" s="97"/>
      <c r="U13" s="97"/>
    </row>
    <row r="14" spans="1:21">
      <c r="A14" s="3" t="s">
        <v>36</v>
      </c>
      <c r="B14" t="s">
        <v>37</v>
      </c>
      <c r="C14" s="3"/>
      <c r="D14" s="90"/>
      <c r="F14" s="1" t="s">
        <v>38</v>
      </c>
      <c r="G14" s="1"/>
      <c r="H14" s="97"/>
      <c r="I14" s="97"/>
      <c r="J14" s="97"/>
      <c r="K14" s="97"/>
      <c r="L14" s="97"/>
      <c r="M14" s="97"/>
      <c r="N14" s="97"/>
      <c r="O14" s="97"/>
      <c r="P14" s="97"/>
      <c r="Q14" s="97"/>
      <c r="R14" s="97"/>
      <c r="S14" s="97"/>
      <c r="T14" s="97"/>
      <c r="U14" s="97"/>
    </row>
    <row r="15" spans="1:21">
      <c r="A15" s="3" t="s">
        <v>39</v>
      </c>
      <c r="B15" t="s">
        <v>40</v>
      </c>
      <c r="C15" s="3"/>
      <c r="D15" s="90"/>
      <c r="F15" s="97" t="s">
        <v>3</v>
      </c>
      <c r="G15" s="97" t="s">
        <v>24</v>
      </c>
      <c r="H15" s="97"/>
      <c r="I15" s="97"/>
      <c r="J15" s="97"/>
      <c r="K15" s="97"/>
      <c r="L15" s="97"/>
      <c r="M15" s="97"/>
      <c r="N15" s="97"/>
      <c r="O15" s="97"/>
      <c r="P15" s="97"/>
      <c r="Q15" s="97"/>
      <c r="R15" s="97"/>
      <c r="S15" s="97"/>
      <c r="T15" s="97"/>
      <c r="U15" s="97"/>
    </row>
    <row r="16" spans="1:21">
      <c r="A16" s="3" t="s">
        <v>41</v>
      </c>
      <c r="B16" t="s">
        <v>42</v>
      </c>
      <c r="C16" s="3"/>
      <c r="D16" s="90">
        <v>200</v>
      </c>
      <c r="F16" s="97" t="s">
        <v>43</v>
      </c>
      <c r="G16" s="126">
        <v>0.03</v>
      </c>
      <c r="H16" s="97"/>
      <c r="I16" s="97"/>
      <c r="J16" s="97"/>
      <c r="K16" s="97"/>
      <c r="L16" s="97"/>
      <c r="M16" s="97"/>
      <c r="N16" s="97"/>
      <c r="O16" s="97"/>
      <c r="P16" s="97"/>
      <c r="Q16" s="97"/>
      <c r="R16" s="97"/>
      <c r="S16" s="97"/>
      <c r="T16" s="97"/>
      <c r="U16" s="97"/>
    </row>
    <row r="17" spans="1:21">
      <c r="A17" s="3" t="s">
        <v>44</v>
      </c>
      <c r="C17" s="3"/>
      <c r="D17" s="90">
        <f>SUBTOTAL(109,Módulo1379[Valor])</f>
        <v>1406.74</v>
      </c>
      <c r="F17" s="97" t="s">
        <v>45</v>
      </c>
      <c r="G17" s="126">
        <v>0.0679</v>
      </c>
      <c r="H17" s="97"/>
      <c r="I17" s="97"/>
      <c r="J17" s="97"/>
      <c r="K17" s="97"/>
      <c r="L17" s="97"/>
      <c r="M17" s="97"/>
      <c r="N17" s="97"/>
      <c r="O17" s="97"/>
      <c r="P17" s="97"/>
      <c r="Q17" s="97"/>
      <c r="R17" s="97"/>
      <c r="S17" s="97"/>
      <c r="T17" s="97"/>
      <c r="U17" s="97"/>
    </row>
    <row r="18" spans="6:21">
      <c r="F18" s="97" t="s">
        <v>46</v>
      </c>
      <c r="G18" s="127">
        <v>0.0165</v>
      </c>
      <c r="H18" s="97"/>
      <c r="I18" s="97"/>
      <c r="J18" s="97"/>
      <c r="K18" s="97"/>
      <c r="L18" s="97"/>
      <c r="M18" s="97"/>
      <c r="N18" s="97"/>
      <c r="O18" s="97"/>
      <c r="P18" s="97"/>
      <c r="Q18" s="97"/>
      <c r="R18" s="97"/>
      <c r="S18" s="97"/>
      <c r="T18" s="97"/>
      <c r="U18" s="97"/>
    </row>
    <row r="19" spans="1:21">
      <c r="A19" s="91" t="s">
        <v>47</v>
      </c>
      <c r="B19" s="91"/>
      <c r="C19" s="91"/>
      <c r="D19" s="91"/>
      <c r="F19" s="97" t="s">
        <v>48</v>
      </c>
      <c r="G19" s="127">
        <v>0.076</v>
      </c>
      <c r="H19" s="97"/>
      <c r="I19" s="97"/>
      <c r="J19" s="97"/>
      <c r="K19" s="97"/>
      <c r="L19" s="97"/>
      <c r="M19" s="97"/>
      <c r="N19" s="97"/>
      <c r="O19" s="97"/>
      <c r="P19" s="97"/>
      <c r="Q19" s="97"/>
      <c r="R19" s="97"/>
      <c r="S19" s="97"/>
      <c r="T19" s="97"/>
      <c r="U19" s="97"/>
    </row>
    <row r="20" spans="1:21">
      <c r="A20" s="1" t="s">
        <v>49</v>
      </c>
      <c r="B20" s="1"/>
      <c r="C20" s="1"/>
      <c r="D20" s="1"/>
      <c r="F20" s="97" t="s">
        <v>50</v>
      </c>
      <c r="G20" s="127">
        <v>0.05</v>
      </c>
      <c r="H20" s="97"/>
      <c r="I20" s="97"/>
      <c r="J20" s="97"/>
      <c r="K20" s="97"/>
      <c r="L20" s="97"/>
      <c r="M20" s="97"/>
      <c r="N20" s="97"/>
      <c r="O20" s="97"/>
      <c r="P20" s="97"/>
      <c r="Q20" s="97"/>
      <c r="R20" s="97"/>
      <c r="S20" s="97"/>
      <c r="T20" s="97"/>
      <c r="U20" s="97"/>
    </row>
    <row r="21" spans="1:21">
      <c r="A21" s="3" t="s">
        <v>51</v>
      </c>
      <c r="B21" t="s">
        <v>52</v>
      </c>
      <c r="C21" s="3" t="s">
        <v>4</v>
      </c>
      <c r="D21" s="3" t="s">
        <v>5</v>
      </c>
      <c r="F21" s="97"/>
      <c r="G21" s="97"/>
      <c r="H21" s="97"/>
      <c r="I21" s="97"/>
      <c r="J21" s="97"/>
      <c r="K21" s="97"/>
      <c r="L21" s="97"/>
      <c r="M21" s="97"/>
      <c r="N21" s="97"/>
      <c r="O21" s="97"/>
      <c r="P21" s="97"/>
      <c r="Q21" s="97"/>
      <c r="R21" s="97"/>
      <c r="S21" s="97"/>
      <c r="T21" s="97"/>
      <c r="U21" s="97"/>
    </row>
    <row r="22" spans="1:21">
      <c r="A22" s="3" t="s">
        <v>28</v>
      </c>
      <c r="B22" t="s">
        <v>53</v>
      </c>
      <c r="D22" s="90">
        <f>Módulo1379[[#Totals],[Valor]]/12</f>
        <v>117.228333333333</v>
      </c>
      <c r="F22" s="1" t="s">
        <v>54</v>
      </c>
      <c r="G22" s="1"/>
      <c r="H22" s="97"/>
      <c r="I22" s="97"/>
      <c r="J22" s="97"/>
      <c r="K22" s="97"/>
      <c r="L22" s="97"/>
      <c r="M22" s="97"/>
      <c r="N22" s="97"/>
      <c r="O22" s="97"/>
      <c r="P22" s="97"/>
      <c r="Q22" s="97"/>
      <c r="R22" s="97"/>
      <c r="S22" s="97"/>
      <c r="T22" s="97"/>
      <c r="U22" s="97"/>
    </row>
    <row r="23" spans="1:21">
      <c r="A23" s="3" t="s">
        <v>31</v>
      </c>
      <c r="B23" t="s">
        <v>55</v>
      </c>
      <c r="D23" s="90">
        <f>(Módulo1379[[#Totals],[Valor]]/12)*(1/3)</f>
        <v>39.0761111111111</v>
      </c>
      <c r="E23" s="93"/>
      <c r="F23" s="3" t="s">
        <v>3</v>
      </c>
      <c r="G23" s="3" t="s">
        <v>5</v>
      </c>
      <c r="H23" s="97"/>
      <c r="I23" s="97"/>
      <c r="J23" s="97"/>
      <c r="K23" s="97"/>
      <c r="L23" s="97"/>
      <c r="M23" s="97"/>
      <c r="N23" s="97"/>
      <c r="O23" s="97"/>
      <c r="P23" s="97"/>
      <c r="Q23" s="97"/>
      <c r="R23" s="97"/>
      <c r="S23" s="97"/>
      <c r="T23" s="97"/>
      <c r="U23" s="97"/>
    </row>
    <row r="24" spans="1:21">
      <c r="A24" s="3" t="s">
        <v>44</v>
      </c>
      <c r="D24" s="90">
        <f>SUBTOTAL(109,Submódulo2.1480[Valor])</f>
        <v>156.304444444444</v>
      </c>
      <c r="F24" s="97" t="s">
        <v>56</v>
      </c>
      <c r="G24" s="128">
        <f>((D17+D24+(D17/12))*(100%+C41))/30</f>
        <v>76.6204386666667</v>
      </c>
      <c r="H24" s="97"/>
      <c r="I24" s="97"/>
      <c r="J24" s="97"/>
      <c r="K24" s="97"/>
      <c r="L24" s="97"/>
      <c r="M24" s="97"/>
      <c r="N24" s="97"/>
      <c r="O24" s="97"/>
      <c r="P24" s="97"/>
      <c r="Q24" s="97"/>
      <c r="R24" s="97"/>
      <c r="S24" s="97"/>
      <c r="T24" s="97"/>
      <c r="U24" s="97"/>
    </row>
    <row r="25" spans="1:21">
      <c r="A25" s="3"/>
      <c r="D25" s="90"/>
      <c r="F25" s="97" t="s">
        <v>57</v>
      </c>
      <c r="G25" s="128">
        <f>((D17*(1+(1/3))*(100%+C41))/12)/30</f>
        <v>7.12748266666667</v>
      </c>
      <c r="H25" s="97"/>
      <c r="I25" s="97"/>
      <c r="J25" s="97"/>
      <c r="K25" s="97"/>
      <c r="L25" s="97"/>
      <c r="M25" s="97"/>
      <c r="N25" s="97"/>
      <c r="O25" s="97"/>
      <c r="P25" s="97"/>
      <c r="Q25" s="97"/>
      <c r="R25" s="97"/>
      <c r="S25" s="97"/>
      <c r="T25" s="97"/>
      <c r="U25" s="97"/>
    </row>
    <row r="26" spans="1:21">
      <c r="A26" s="129" t="s">
        <v>58</v>
      </c>
      <c r="B26" s="129"/>
      <c r="C26" s="129"/>
      <c r="D26" s="129"/>
      <c r="F26" s="97"/>
      <c r="G26" s="97"/>
      <c r="H26" s="97"/>
      <c r="I26" s="97"/>
      <c r="J26" s="97"/>
      <c r="K26" s="97"/>
      <c r="L26" s="97"/>
      <c r="M26" s="97"/>
      <c r="N26" s="97"/>
      <c r="O26" s="97"/>
      <c r="P26" s="97"/>
      <c r="Q26" s="97"/>
      <c r="R26" s="97"/>
      <c r="S26" s="97"/>
      <c r="T26" s="97"/>
      <c r="U26" s="97"/>
    </row>
    <row r="27" spans="1:21">
      <c r="A27" s="129" t="s">
        <v>2</v>
      </c>
      <c r="B27" s="129" t="s">
        <v>59</v>
      </c>
      <c r="C27" s="129" t="s">
        <v>60</v>
      </c>
      <c r="D27" s="130" t="s">
        <v>61</v>
      </c>
      <c r="F27" s="97"/>
      <c r="G27" s="97"/>
      <c r="H27" s="97"/>
      <c r="I27" s="97"/>
      <c r="J27" s="97"/>
      <c r="K27" s="97"/>
      <c r="L27" s="97"/>
      <c r="M27" s="97"/>
      <c r="N27" s="97"/>
      <c r="O27" s="97"/>
      <c r="P27" s="97"/>
      <c r="Q27" s="97"/>
      <c r="R27" s="97"/>
      <c r="S27" s="97"/>
      <c r="T27" s="97"/>
      <c r="U27" s="97"/>
    </row>
    <row r="28" ht="30" spans="1:21">
      <c r="A28" s="4" t="s">
        <v>28</v>
      </c>
      <c r="B28" s="131" t="s">
        <v>62</v>
      </c>
      <c r="C28" s="2" t="s">
        <v>63</v>
      </c>
      <c r="D28" s="131" t="s">
        <v>64</v>
      </c>
      <c r="F28" s="97"/>
      <c r="G28" s="97"/>
      <c r="H28" s="97"/>
      <c r="I28" s="97"/>
      <c r="J28" s="97"/>
      <c r="K28" s="97"/>
      <c r="L28" s="97"/>
      <c r="M28" s="97"/>
      <c r="N28" s="97"/>
      <c r="O28" s="97"/>
      <c r="P28" s="97"/>
      <c r="Q28" s="97"/>
      <c r="R28" s="97"/>
      <c r="S28" s="97"/>
      <c r="T28" s="97"/>
      <c r="U28" s="97"/>
    </row>
    <row r="29" spans="1:21">
      <c r="A29" s="4" t="s">
        <v>31</v>
      </c>
      <c r="B29" s="132" t="s">
        <v>55</v>
      </c>
      <c r="C29" s="2" t="s">
        <v>63</v>
      </c>
      <c r="D29" s="131" t="s">
        <v>65</v>
      </c>
      <c r="F29" s="97"/>
      <c r="G29" s="97"/>
      <c r="H29" s="97"/>
      <c r="I29" s="97"/>
      <c r="J29" s="97"/>
      <c r="K29" s="97"/>
      <c r="L29" s="97"/>
      <c r="M29" s="97"/>
      <c r="N29" s="97"/>
      <c r="O29" s="97"/>
      <c r="P29" s="97"/>
      <c r="Q29" s="97"/>
      <c r="R29" s="97"/>
      <c r="S29" s="97"/>
      <c r="T29" s="97"/>
      <c r="U29" s="97"/>
    </row>
    <row r="30" spans="1:21">
      <c r="A30" s="3"/>
      <c r="B30" s="3"/>
      <c r="C30" s="100"/>
      <c r="F30" s="97"/>
      <c r="G30" s="97"/>
      <c r="H30" s="97"/>
      <c r="I30" s="97"/>
      <c r="J30" s="97"/>
      <c r="K30" s="97"/>
      <c r="L30" s="97"/>
      <c r="M30" s="97"/>
      <c r="N30" s="97"/>
      <c r="O30" s="97"/>
      <c r="P30" s="97"/>
      <c r="Q30" s="97"/>
      <c r="R30" s="97"/>
      <c r="S30" s="97"/>
      <c r="T30" s="97"/>
      <c r="U30" s="97"/>
    </row>
    <row r="31" spans="1:4">
      <c r="A31" s="1" t="s">
        <v>66</v>
      </c>
      <c r="B31" s="1"/>
      <c r="C31" s="1"/>
      <c r="D31" s="1"/>
    </row>
    <row r="32" spans="1:4">
      <c r="A32" s="3" t="s">
        <v>67</v>
      </c>
      <c r="B32" t="s">
        <v>68</v>
      </c>
      <c r="C32" s="3" t="s">
        <v>24</v>
      </c>
      <c r="D32" s="3" t="s">
        <v>69</v>
      </c>
    </row>
    <row r="33" spans="1:4">
      <c r="A33" s="3" t="s">
        <v>28</v>
      </c>
      <c r="B33" t="s">
        <v>70</v>
      </c>
      <c r="C33" s="101">
        <v>0.2</v>
      </c>
      <c r="D33" s="90">
        <f>C33*(Módulo1379[[#Totals],[Valor]]+Submódulo2.1480[[#Totals],[Valor]])</f>
        <v>312.608888888889</v>
      </c>
    </row>
    <row r="34" spans="1:4">
      <c r="A34" s="3" t="s">
        <v>31</v>
      </c>
      <c r="B34" t="s">
        <v>71</v>
      </c>
      <c r="C34" s="101">
        <v>0.025</v>
      </c>
      <c r="D34" s="90">
        <f>C34*(Módulo1379[[#Totals],[Valor]]+Submódulo2.1480[[#Totals],[Valor]])</f>
        <v>39.0761111111111</v>
      </c>
    </row>
    <row r="35" spans="1:4">
      <c r="A35" s="3" t="s">
        <v>34</v>
      </c>
      <c r="B35" t="s">
        <v>72</v>
      </c>
      <c r="C35" s="101">
        <f>Encarregado!G6</f>
        <v>0.03</v>
      </c>
      <c r="D35" s="90">
        <f>C35*(Módulo1379[[#Totals],[Valor]]+Submódulo2.1480[[#Totals],[Valor]])</f>
        <v>46.8913333333333</v>
      </c>
    </row>
    <row r="36" spans="1:4">
      <c r="A36" s="3" t="s">
        <v>36</v>
      </c>
      <c r="B36" t="s">
        <v>73</v>
      </c>
      <c r="C36" s="101">
        <v>0.015</v>
      </c>
      <c r="D36" s="90">
        <f>C36*(Módulo1379[[#Totals],[Valor]]+Submódulo2.1480[[#Totals],[Valor]])</f>
        <v>23.4456666666667</v>
      </c>
    </row>
    <row r="37" spans="1:4">
      <c r="A37" s="3" t="s">
        <v>39</v>
      </c>
      <c r="B37" t="s">
        <v>74</v>
      </c>
      <c r="C37" s="101">
        <v>0.01</v>
      </c>
      <c r="D37" s="90">
        <f>C37*(Módulo1379[[#Totals],[Valor]]+Submódulo2.1480[[#Totals],[Valor]])</f>
        <v>15.6304444444444</v>
      </c>
    </row>
    <row r="38" spans="1:4">
      <c r="A38" s="3" t="s">
        <v>41</v>
      </c>
      <c r="B38" t="s">
        <v>75</v>
      </c>
      <c r="C38" s="101">
        <v>0.006</v>
      </c>
      <c r="D38" s="90">
        <f>C38*(Módulo1379[[#Totals],[Valor]]+Submódulo2.1480[[#Totals],[Valor]])</f>
        <v>9.37826666666667</v>
      </c>
    </row>
    <row r="39" spans="1:4">
      <c r="A39" s="3" t="s">
        <v>76</v>
      </c>
      <c r="B39" t="s">
        <v>77</v>
      </c>
      <c r="C39" s="101">
        <v>0.002</v>
      </c>
      <c r="D39" s="90">
        <f>C39*(Módulo1379[[#Totals],[Valor]]+Submódulo2.1480[[#Totals],[Valor]])</f>
        <v>3.12608888888889</v>
      </c>
    </row>
    <row r="40" spans="1:4">
      <c r="A40" s="3" t="s">
        <v>78</v>
      </c>
      <c r="B40" t="s">
        <v>79</v>
      </c>
      <c r="C40" s="101">
        <v>0.08</v>
      </c>
      <c r="D40" s="90">
        <f>C40*(Módulo1379[[#Totals],[Valor]]+Submódulo2.1480[[#Totals],[Valor]])</f>
        <v>125.043555555556</v>
      </c>
    </row>
    <row r="41" spans="1:4">
      <c r="A41" s="3" t="s">
        <v>44</v>
      </c>
      <c r="C41" s="104">
        <f>SUBTOTAL(109,Submódulo2.2681[Percentual])</f>
        <v>0.368</v>
      </c>
      <c r="D41" s="90">
        <v>575.200355555556</v>
      </c>
    </row>
    <row r="42" spans="1:4">
      <c r="A42" s="3"/>
      <c r="C42" s="104"/>
      <c r="D42" s="90"/>
    </row>
    <row r="43" spans="1:4">
      <c r="A43" s="129" t="s">
        <v>80</v>
      </c>
      <c r="B43" s="129"/>
      <c r="C43" s="129"/>
      <c r="D43" s="129"/>
    </row>
    <row r="44" spans="1:4">
      <c r="A44" s="129" t="s">
        <v>2</v>
      </c>
      <c r="B44" s="129" t="s">
        <v>59</v>
      </c>
      <c r="C44" s="129" t="s">
        <v>60</v>
      </c>
      <c r="D44" s="130" t="s">
        <v>61</v>
      </c>
    </row>
    <row r="45" ht="30" spans="1:4">
      <c r="A45" s="4" t="s">
        <v>81</v>
      </c>
      <c r="B45" s="131" t="s">
        <v>68</v>
      </c>
      <c r="C45" s="131" t="s">
        <v>82</v>
      </c>
      <c r="D45" s="131" t="s">
        <v>83</v>
      </c>
    </row>
    <row r="47" spans="1:4">
      <c r="A47" s="1" t="s">
        <v>84</v>
      </c>
      <c r="B47" s="1"/>
      <c r="C47" s="1"/>
      <c r="D47" s="1"/>
    </row>
    <row r="48" spans="1:4">
      <c r="A48" s="3" t="s">
        <v>85</v>
      </c>
      <c r="B48" t="s">
        <v>86</v>
      </c>
      <c r="C48" s="3" t="s">
        <v>4</v>
      </c>
      <c r="D48" s="3" t="s">
        <v>5</v>
      </c>
    </row>
    <row r="49" spans="1:4">
      <c r="A49" s="3" t="s">
        <v>28</v>
      </c>
      <c r="B49" t="s">
        <v>87</v>
      </c>
      <c r="D49" s="90">
        <f>IF(G3=0,0,(Encarregado!G3*2*Encarregado!G5)-(6%*_1A))</f>
        <v>94.7956</v>
      </c>
    </row>
    <row r="50" spans="1:4">
      <c r="A50" s="3" t="s">
        <v>31</v>
      </c>
      <c r="B50" t="s">
        <v>88</v>
      </c>
      <c r="D50" s="90">
        <f>(Encarregado!G4*Encarregado!G5)*80%</f>
        <v>246.4</v>
      </c>
    </row>
    <row r="51" spans="1:4">
      <c r="A51" s="3" t="s">
        <v>34</v>
      </c>
      <c r="B51" t="s">
        <v>89</v>
      </c>
      <c r="D51" s="90"/>
    </row>
    <row r="52" spans="1:4">
      <c r="A52" s="3" t="s">
        <v>36</v>
      </c>
      <c r="B52" t="s">
        <v>90</v>
      </c>
      <c r="C52" t="s">
        <v>91</v>
      </c>
      <c r="D52" s="90">
        <v>4</v>
      </c>
    </row>
    <row r="53" spans="1:4">
      <c r="A53" s="3" t="s">
        <v>39</v>
      </c>
      <c r="B53" t="s">
        <v>92</v>
      </c>
      <c r="C53" t="s">
        <v>93</v>
      </c>
      <c r="D53" s="90">
        <v>15</v>
      </c>
    </row>
    <row r="54" spans="1:4">
      <c r="A54" s="3" t="s">
        <v>44</v>
      </c>
      <c r="D54" s="90">
        <f>SUBTOTAL(109,Submódulo2.3882[Valor])</f>
        <v>360.1956</v>
      </c>
    </row>
    <row r="55" spans="1:4">
      <c r="A55" s="3"/>
      <c r="D55" s="90"/>
    </row>
    <row r="56" spans="1:4">
      <c r="A56" s="129" t="s">
        <v>94</v>
      </c>
      <c r="B56" s="129"/>
      <c r="C56" s="129"/>
      <c r="D56" s="129"/>
    </row>
    <row r="57" spans="1:4">
      <c r="A57" s="129" t="s">
        <v>2</v>
      </c>
      <c r="B57" s="129" t="s">
        <v>59</v>
      </c>
      <c r="C57" s="129" t="s">
        <v>60</v>
      </c>
      <c r="D57" s="129" t="s">
        <v>61</v>
      </c>
    </row>
    <row r="58" ht="45" spans="1:4">
      <c r="A58" s="4" t="s">
        <v>28</v>
      </c>
      <c r="B58" s="131" t="s">
        <v>87</v>
      </c>
      <c r="C58" s="2" t="s">
        <v>95</v>
      </c>
      <c r="D58" s="2" t="s">
        <v>96</v>
      </c>
    </row>
    <row r="59" ht="30" spans="1:4">
      <c r="A59" s="4" t="s">
        <v>31</v>
      </c>
      <c r="B59" s="132" t="s">
        <v>88</v>
      </c>
      <c r="C59" s="2" t="s">
        <v>95</v>
      </c>
      <c r="D59" s="2" t="s">
        <v>97</v>
      </c>
    </row>
    <row r="60" ht="19.5" customHeight="1" spans="1:4">
      <c r="A60" s="3"/>
      <c r="D60" s="90"/>
    </row>
    <row r="61" spans="1:4">
      <c r="A61" s="1" t="s">
        <v>98</v>
      </c>
      <c r="B61" s="1"/>
      <c r="C61" s="1"/>
      <c r="D61" s="1"/>
    </row>
    <row r="62" spans="1:4">
      <c r="A62" s="3" t="s">
        <v>99</v>
      </c>
      <c r="B62" t="s">
        <v>100</v>
      </c>
      <c r="C62" s="3" t="s">
        <v>4</v>
      </c>
      <c r="D62" s="3" t="s">
        <v>5</v>
      </c>
    </row>
    <row r="63" spans="1:4">
      <c r="A63" s="3" t="s">
        <v>51</v>
      </c>
      <c r="B63" t="s">
        <v>52</v>
      </c>
      <c r="C63" s="3"/>
      <c r="D63" s="90">
        <f>Submódulo2.1480[[#Totals],[Valor]]</f>
        <v>156.304444444444</v>
      </c>
    </row>
    <row r="64" spans="1:4">
      <c r="A64" s="3" t="s">
        <v>67</v>
      </c>
      <c r="B64" t="s">
        <v>68</v>
      </c>
      <c r="C64" s="3"/>
      <c r="D64" s="90">
        <f>Submódulo2.2681[[#Totals],[Valor ]]</f>
        <v>575.200355555556</v>
      </c>
    </row>
    <row r="65" spans="1:4">
      <c r="A65" s="3" t="s">
        <v>85</v>
      </c>
      <c r="B65" t="s">
        <v>86</v>
      </c>
      <c r="C65" s="3"/>
      <c r="D65" s="90">
        <f>Submódulo2.3882[[#Totals],[Valor]]</f>
        <v>360.1956</v>
      </c>
    </row>
    <row r="66" spans="1:4">
      <c r="A66" s="3" t="s">
        <v>44</v>
      </c>
      <c r="C66" s="3"/>
      <c r="D66" s="90">
        <v>1091.7004</v>
      </c>
    </row>
    <row r="68" spans="1:4">
      <c r="A68" s="85" t="s">
        <v>101</v>
      </c>
      <c r="B68" s="85"/>
      <c r="C68" s="85"/>
      <c r="D68" s="85"/>
    </row>
    <row r="69" spans="1:4">
      <c r="A69" s="3" t="s">
        <v>102</v>
      </c>
      <c r="B69" t="s">
        <v>103</v>
      </c>
      <c r="C69" s="3" t="s">
        <v>4</v>
      </c>
      <c r="D69" s="3" t="s">
        <v>5</v>
      </c>
    </row>
    <row r="70" spans="1:4">
      <c r="A70" s="3" t="s">
        <v>28</v>
      </c>
      <c r="B70" t="s">
        <v>104</v>
      </c>
      <c r="D70" s="90">
        <f>((Módulo1379[[#Totals],[Valor]]+D63+D65)/12)*G10</f>
        <v>69.5091006062963</v>
      </c>
    </row>
    <row r="71" spans="1:4">
      <c r="A71" s="3" t="s">
        <v>31</v>
      </c>
      <c r="B71" t="s">
        <v>105</v>
      </c>
      <c r="D71" s="90">
        <f>(D40/12)*Encarregado!G10</f>
        <v>4.5192825037037</v>
      </c>
    </row>
    <row r="72" spans="1:4">
      <c r="A72" s="3" t="s">
        <v>34</v>
      </c>
      <c r="B72" t="s">
        <v>106</v>
      </c>
      <c r="D72" s="90">
        <f>D40*50%*Encarregado!G10</f>
        <v>27.1156950222222</v>
      </c>
    </row>
    <row r="73" spans="1:4">
      <c r="A73" s="3" t="s">
        <v>36</v>
      </c>
      <c r="B73" t="s">
        <v>107</v>
      </c>
      <c r="D73" s="90">
        <f>((Módulo1379[[#Totals],[Valor]]+ResumoMódulo2983[[#Totals],[Valor]])/12)*G11</f>
        <v>90.2978001233333</v>
      </c>
    </row>
    <row r="74" spans="1:4">
      <c r="A74" s="3" t="s">
        <v>39</v>
      </c>
      <c r="B74" t="s">
        <v>108</v>
      </c>
      <c r="D74" s="90">
        <f>D40*50%*Encarregado!G11</f>
        <v>27.1156950222222</v>
      </c>
    </row>
    <row r="75" spans="1:4">
      <c r="A75" s="3" t="s">
        <v>41</v>
      </c>
      <c r="B75" t="s">
        <v>109</v>
      </c>
      <c r="D75" s="90">
        <f>-D63*Encarregado!G12</f>
        <v>-3.40743688888889</v>
      </c>
    </row>
    <row r="76" spans="1:4">
      <c r="A76" s="3" t="s">
        <v>44</v>
      </c>
      <c r="D76" s="90">
        <v>215.150136388889</v>
      </c>
    </row>
    <row r="77" spans="1:4">
      <c r="A77" s="3"/>
      <c r="D77" s="90"/>
    </row>
    <row r="78" spans="1:4">
      <c r="A78" s="129" t="s">
        <v>110</v>
      </c>
      <c r="B78" s="129"/>
      <c r="C78" s="129"/>
      <c r="D78" s="129"/>
    </row>
    <row r="79" spans="1:4">
      <c r="A79" s="129" t="s">
        <v>2</v>
      </c>
      <c r="B79" s="129" t="s">
        <v>59</v>
      </c>
      <c r="C79" s="129" t="s">
        <v>60</v>
      </c>
      <c r="D79" s="129" t="s">
        <v>61</v>
      </c>
    </row>
    <row r="80" ht="60" spans="1:4">
      <c r="A80" s="4" t="s">
        <v>28</v>
      </c>
      <c r="B80" s="131" t="s">
        <v>104</v>
      </c>
      <c r="C80" s="2" t="s">
        <v>111</v>
      </c>
      <c r="D80" s="2" t="s">
        <v>112</v>
      </c>
    </row>
    <row r="81" ht="60" spans="1:4">
      <c r="A81" s="4" t="s">
        <v>31</v>
      </c>
      <c r="B81" s="132" t="s">
        <v>105</v>
      </c>
      <c r="C81" s="2" t="s">
        <v>113</v>
      </c>
      <c r="D81" s="2" t="s">
        <v>112</v>
      </c>
    </row>
    <row r="82" ht="75" spans="1:4">
      <c r="A82" s="4" t="s">
        <v>34</v>
      </c>
      <c r="B82" s="132" t="s">
        <v>106</v>
      </c>
      <c r="C82" s="2" t="s">
        <v>113</v>
      </c>
      <c r="D82" s="133" t="s">
        <v>114</v>
      </c>
    </row>
    <row r="83" ht="60" spans="1:4">
      <c r="A83" s="4" t="s">
        <v>36</v>
      </c>
      <c r="B83" s="134" t="s">
        <v>107</v>
      </c>
      <c r="C83" s="2" t="s">
        <v>115</v>
      </c>
      <c r="D83" s="133" t="s">
        <v>116</v>
      </c>
    </row>
    <row r="84" ht="75" spans="1:4">
      <c r="A84" s="4" t="s">
        <v>39</v>
      </c>
      <c r="B84" s="134" t="s">
        <v>108</v>
      </c>
      <c r="C84" s="2" t="s">
        <v>113</v>
      </c>
      <c r="D84" s="133" t="s">
        <v>117</v>
      </c>
    </row>
    <row r="85" ht="60" spans="1:4">
      <c r="A85" s="4" t="s">
        <v>41</v>
      </c>
      <c r="B85" s="134" t="s">
        <v>109</v>
      </c>
      <c r="C85" s="2" t="s">
        <v>118</v>
      </c>
      <c r="D85" s="133" t="s">
        <v>119</v>
      </c>
    </row>
    <row r="87" spans="1:4">
      <c r="A87" s="108" t="s">
        <v>120</v>
      </c>
      <c r="B87" s="91"/>
      <c r="C87" s="91"/>
      <c r="D87" s="91"/>
    </row>
    <row r="88" spans="1:4">
      <c r="A88" s="109" t="s">
        <v>121</v>
      </c>
      <c r="B88" s="109"/>
      <c r="C88" s="109"/>
      <c r="D88" s="109"/>
    </row>
    <row r="89" spans="1:4">
      <c r="A89" s="3" t="s">
        <v>122</v>
      </c>
      <c r="B89" t="s">
        <v>123</v>
      </c>
      <c r="C89" s="3" t="s">
        <v>124</v>
      </c>
      <c r="D89" s="3" t="s">
        <v>5</v>
      </c>
    </row>
    <row r="90" spans="1:5">
      <c r="A90" s="3" t="s">
        <v>28</v>
      </c>
      <c r="B90" t="s">
        <v>125</v>
      </c>
      <c r="C90" s="3">
        <v>30</v>
      </c>
      <c r="D90" s="90">
        <f t="shared" ref="D90:D95" si="0">(C90*G$24)/12</f>
        <v>191.551096666667</v>
      </c>
      <c r="E90" s="93"/>
    </row>
    <row r="91" spans="1:5">
      <c r="A91" s="3" t="s">
        <v>31</v>
      </c>
      <c r="B91" t="s">
        <v>126</v>
      </c>
      <c r="C91" s="3">
        <v>1.4181</v>
      </c>
      <c r="D91" s="90">
        <f t="shared" si="0"/>
        <v>9.05462033943333</v>
      </c>
      <c r="E91" s="93"/>
    </row>
    <row r="92" spans="1:5">
      <c r="A92" s="3" t="s">
        <v>34</v>
      </c>
      <c r="B92" t="s">
        <v>127</v>
      </c>
      <c r="C92" s="3">
        <v>0.1898</v>
      </c>
      <c r="D92" s="90">
        <f t="shared" si="0"/>
        <v>1.21187993824444</v>
      </c>
      <c r="E92" s="93"/>
    </row>
    <row r="93" spans="1:5">
      <c r="A93" s="3" t="s">
        <v>36</v>
      </c>
      <c r="B93" t="s">
        <v>128</v>
      </c>
      <c r="C93" s="3">
        <v>0.9545</v>
      </c>
      <c r="D93" s="90">
        <f t="shared" si="0"/>
        <v>6.09451739227778</v>
      </c>
      <c r="E93" s="93"/>
    </row>
    <row r="94" spans="1:5">
      <c r="A94" s="3" t="s">
        <v>39</v>
      </c>
      <c r="B94" t="s">
        <v>129</v>
      </c>
      <c r="C94" s="3">
        <v>2.4723</v>
      </c>
      <c r="D94" s="90">
        <f>(C94*G$25)/12</f>
        <v>1.4684396164</v>
      </c>
      <c r="E94" s="93"/>
    </row>
    <row r="95" spans="1:5">
      <c r="A95" s="3" t="s">
        <v>41</v>
      </c>
      <c r="B95" t="s">
        <v>130</v>
      </c>
      <c r="C95" s="3">
        <v>3.4521</v>
      </c>
      <c r="D95" s="90">
        <f t="shared" si="0"/>
        <v>22.0417846934333</v>
      </c>
      <c r="E95" s="93"/>
    </row>
    <row r="96" spans="1:4">
      <c r="A96" s="3" t="s">
        <v>44</v>
      </c>
      <c r="C96" s="3">
        <f>SUBTOTAL(109,Submódulo4.12585[Dias de ausência])</f>
        <v>38.4868</v>
      </c>
      <c r="D96" s="90">
        <f>SUBTOTAL(109,Submódulo4.12585[Valor])</f>
        <v>231.422338646456</v>
      </c>
    </row>
    <row r="97" spans="1:4">
      <c r="A97" s="3"/>
      <c r="C97" s="3"/>
      <c r="D97" s="90"/>
    </row>
    <row r="98" spans="1:4">
      <c r="A98" s="129" t="s">
        <v>131</v>
      </c>
      <c r="B98" s="129"/>
      <c r="C98" s="129"/>
      <c r="D98" s="129"/>
    </row>
    <row r="99" spans="1:4">
      <c r="A99" s="129" t="s">
        <v>2</v>
      </c>
      <c r="B99" s="129" t="s">
        <v>59</v>
      </c>
      <c r="C99" s="129" t="s">
        <v>60</v>
      </c>
      <c r="D99" s="129" t="s">
        <v>61</v>
      </c>
    </row>
    <row r="100" spans="1:4">
      <c r="A100" s="4" t="s">
        <v>132</v>
      </c>
      <c r="B100" s="131" t="s">
        <v>133</v>
      </c>
      <c r="C100" s="2"/>
      <c r="D100" s="2"/>
    </row>
    <row r="101" ht="60" spans="1:4">
      <c r="A101" s="4" t="s">
        <v>134</v>
      </c>
      <c r="B101" s="132" t="s">
        <v>135</v>
      </c>
      <c r="C101" s="2" t="s">
        <v>136</v>
      </c>
      <c r="D101" s="2" t="s">
        <v>137</v>
      </c>
    </row>
    <row r="102" ht="60" spans="1:4">
      <c r="A102" s="4" t="s">
        <v>39</v>
      </c>
      <c r="B102" s="132" t="s">
        <v>138</v>
      </c>
      <c r="C102" s="2" t="s">
        <v>139</v>
      </c>
      <c r="D102" s="2" t="s">
        <v>137</v>
      </c>
    </row>
    <row r="103" spans="1:4">
      <c r="A103" s="3"/>
      <c r="C103" s="3"/>
      <c r="D103" s="90"/>
    </row>
    <row r="104" spans="1:4">
      <c r="A104" s="1" t="s">
        <v>140</v>
      </c>
      <c r="B104" s="1"/>
      <c r="C104" s="1"/>
      <c r="D104" s="1"/>
    </row>
    <row r="105" spans="1:4">
      <c r="A105" s="3" t="s">
        <v>141</v>
      </c>
      <c r="B105" t="s">
        <v>142</v>
      </c>
      <c r="C105" s="3" t="s">
        <v>4</v>
      </c>
      <c r="D105" s="3" t="s">
        <v>5</v>
      </c>
    </row>
    <row r="106" spans="1:4">
      <c r="A106" s="3" t="s">
        <v>28</v>
      </c>
      <c r="B106" t="s">
        <v>143</v>
      </c>
      <c r="C106" s="3"/>
      <c r="D106" s="90"/>
    </row>
    <row r="107" spans="1:4">
      <c r="A107" s="3" t="s">
        <v>44</v>
      </c>
      <c r="C107" s="3"/>
      <c r="D107" s="90">
        <f>SUBTOTAL(109,Submódulo4.22686[Valor])</f>
        <v>0</v>
      </c>
    </row>
    <row r="109" spans="1:4">
      <c r="A109" s="109" t="s">
        <v>144</v>
      </c>
      <c r="B109" s="109"/>
      <c r="C109" s="109"/>
      <c r="D109" s="109"/>
    </row>
    <row r="110" spans="1:4">
      <c r="A110" s="3" t="s">
        <v>145</v>
      </c>
      <c r="B110" t="s">
        <v>146</v>
      </c>
      <c r="C110" s="3" t="s">
        <v>4</v>
      </c>
      <c r="D110" s="3" t="s">
        <v>5</v>
      </c>
    </row>
    <row r="111" spans="1:4">
      <c r="A111" s="3" t="s">
        <v>122</v>
      </c>
      <c r="B111" t="s">
        <v>123</v>
      </c>
      <c r="D111" s="90">
        <f>Submódulo4.12585[[#Totals],[Valor]]</f>
        <v>231.422338646456</v>
      </c>
    </row>
    <row r="112" spans="1:4">
      <c r="A112" s="3" t="s">
        <v>141</v>
      </c>
      <c r="B112" t="s">
        <v>147</v>
      </c>
      <c r="D112" s="90">
        <f>Submódulo4.22686[[#Totals],[Valor]]</f>
        <v>0</v>
      </c>
    </row>
    <row r="113" spans="1:4">
      <c r="A113" s="3" t="s">
        <v>44</v>
      </c>
      <c r="D113" s="90">
        <f>SUBTOTAL(109,ResumoMódulo42787[Valor])</f>
        <v>231.422338646456</v>
      </c>
    </row>
    <row r="115" spans="1:4">
      <c r="A115" s="85" t="s">
        <v>148</v>
      </c>
      <c r="B115" s="85"/>
      <c r="C115" s="85"/>
      <c r="D115" s="85"/>
    </row>
    <row r="116" spans="1:4">
      <c r="A116" s="3" t="s">
        <v>149</v>
      </c>
      <c r="B116" t="s">
        <v>150</v>
      </c>
      <c r="C116" s="3" t="s">
        <v>4</v>
      </c>
      <c r="D116" s="3" t="s">
        <v>5</v>
      </c>
    </row>
    <row r="117" spans="1:4">
      <c r="A117" s="3" t="s">
        <v>28</v>
      </c>
      <c r="B117" t="s">
        <v>151</v>
      </c>
      <c r="D117" s="90" t="e">
        <f>#REF!</f>
        <v>#REF!</v>
      </c>
    </row>
    <row r="118" spans="1:4">
      <c r="A118" s="3" t="s">
        <v>31</v>
      </c>
      <c r="B118" t="s">
        <v>152</v>
      </c>
      <c r="D118" s="90"/>
    </row>
    <row r="119" spans="1:4">
      <c r="A119" s="3" t="s">
        <v>34</v>
      </c>
      <c r="B119" t="s">
        <v>153</v>
      </c>
      <c r="D119" s="90"/>
    </row>
    <row r="120" spans="1:4">
      <c r="A120" s="3" t="s">
        <v>36</v>
      </c>
      <c r="B120" t="s">
        <v>154</v>
      </c>
      <c r="D120" s="90"/>
    </row>
    <row r="121" spans="1:4">
      <c r="A121" s="3" t="s">
        <v>44</v>
      </c>
      <c r="D121" s="90" t="e">
        <f>SUBTOTAL(109,Módulo52888[Valor])</f>
        <v>#REF!</v>
      </c>
    </row>
    <row r="122" spans="1:4">
      <c r="A122" s="3"/>
      <c r="D122" s="90"/>
    </row>
    <row r="123" spans="1:4">
      <c r="A123" s="129" t="s">
        <v>155</v>
      </c>
      <c r="B123" s="129"/>
      <c r="C123" s="129"/>
      <c r="D123" s="129"/>
    </row>
    <row r="124" spans="1:4">
      <c r="A124" s="129" t="s">
        <v>2</v>
      </c>
      <c r="B124" s="129" t="s">
        <v>59</v>
      </c>
      <c r="C124" s="129" t="s">
        <v>60</v>
      </c>
      <c r="D124" s="129" t="s">
        <v>61</v>
      </c>
    </row>
    <row r="125" spans="1:4">
      <c r="A125" s="4" t="s">
        <v>28</v>
      </c>
      <c r="B125" s="131" t="s">
        <v>151</v>
      </c>
      <c r="C125" s="2" t="s">
        <v>156</v>
      </c>
      <c r="D125" s="2"/>
    </row>
    <row r="126" ht="30" spans="1:4">
      <c r="A126" s="4" t="s">
        <v>31</v>
      </c>
      <c r="B126" s="132" t="s">
        <v>152</v>
      </c>
      <c r="C126" s="2" t="s">
        <v>157</v>
      </c>
      <c r="D126" s="2" t="s">
        <v>158</v>
      </c>
    </row>
    <row r="127" ht="30" spans="1:4">
      <c r="A127" s="4" t="s">
        <v>34</v>
      </c>
      <c r="B127" s="132" t="s">
        <v>153</v>
      </c>
      <c r="C127" s="2" t="s">
        <v>159</v>
      </c>
      <c r="D127" s="2" t="s">
        <v>158</v>
      </c>
    </row>
    <row r="128" spans="1:4">
      <c r="A128" s="4" t="s">
        <v>36</v>
      </c>
      <c r="B128" s="132" t="s">
        <v>154</v>
      </c>
      <c r="C128" s="2"/>
      <c r="D128" s="2"/>
    </row>
    <row r="130" spans="1:4">
      <c r="A130" s="85" t="s">
        <v>160</v>
      </c>
      <c r="B130" s="85"/>
      <c r="C130" s="85"/>
      <c r="D130" s="85"/>
    </row>
    <row r="131" outlineLevel="1" spans="1:4">
      <c r="A131" s="3" t="s">
        <v>161</v>
      </c>
      <c r="B131" t="s">
        <v>162</v>
      </c>
      <c r="C131" s="3" t="s">
        <v>24</v>
      </c>
      <c r="D131" s="3" t="s">
        <v>5</v>
      </c>
    </row>
    <row r="132" outlineLevel="1" spans="1:4">
      <c r="A132" s="3" t="s">
        <v>28</v>
      </c>
      <c r="B132" t="s">
        <v>163</v>
      </c>
      <c r="C132" s="101">
        <f>G16</f>
        <v>0.03</v>
      </c>
      <c r="D132" s="90" t="e">
        <f>Módulo62989[[#This Row],[Percentual]]*(D143+D144+D145+D146+D147)</f>
        <v>#REF!</v>
      </c>
    </row>
    <row r="133" outlineLevel="1" spans="1:4">
      <c r="A133" s="3" t="s">
        <v>31</v>
      </c>
      <c r="B133" t="s">
        <v>45</v>
      </c>
      <c r="C133" s="101">
        <f>G17</f>
        <v>0.0679</v>
      </c>
      <c r="D133" s="90" t="e">
        <f>(SUM(D143:D147)+D132)*Módulo62989[[#This Row],[Percentual]]</f>
        <v>#REF!</v>
      </c>
    </row>
    <row r="134" spans="1:4">
      <c r="A134" s="3" t="s">
        <v>34</v>
      </c>
      <c r="B134" t="s">
        <v>164</v>
      </c>
      <c r="C134" s="101">
        <f>SUM(C135:C137)</f>
        <v>0.1425</v>
      </c>
      <c r="D134" s="90" t="e">
        <f>Módulo62989[[#This Row],[Percentual]]*D150</f>
        <v>#REF!</v>
      </c>
    </row>
    <row r="135" spans="1:4">
      <c r="A135" s="3" t="s">
        <v>165</v>
      </c>
      <c r="B135" t="s">
        <v>46</v>
      </c>
      <c r="C135" s="101">
        <f>G18</f>
        <v>0.0165</v>
      </c>
      <c r="D135" s="90" t="e">
        <f>Módulo62989[[#This Row],[Percentual]]*D150</f>
        <v>#REF!</v>
      </c>
    </row>
    <row r="136" spans="1:4">
      <c r="A136" s="3" t="s">
        <v>166</v>
      </c>
      <c r="B136" t="s">
        <v>48</v>
      </c>
      <c r="C136" s="101">
        <f>G19</f>
        <v>0.076</v>
      </c>
      <c r="D136" s="90" t="e">
        <f>Módulo62989[[#This Row],[Percentual]]*D150</f>
        <v>#REF!</v>
      </c>
    </row>
    <row r="137" spans="1:4">
      <c r="A137" s="3" t="s">
        <v>167</v>
      </c>
      <c r="B137" t="s">
        <v>50</v>
      </c>
      <c r="C137" s="101">
        <f>G20</f>
        <v>0.05</v>
      </c>
      <c r="D137" s="90" t="e">
        <f>Módulo62989[[#This Row],[Percentual]]*D150</f>
        <v>#REF!</v>
      </c>
    </row>
    <row r="138" spans="1:4">
      <c r="A138" s="3" t="s">
        <v>44</v>
      </c>
      <c r="C138" s="118"/>
      <c r="D138" s="90" t="e">
        <f>SUM(D132:D134)</f>
        <v>#REF!</v>
      </c>
    </row>
    <row r="139" spans="1:4">
      <c r="A139" s="3"/>
      <c r="C139" s="118"/>
      <c r="D139" s="90"/>
    </row>
    <row r="141" spans="1:4">
      <c r="A141" s="85" t="s">
        <v>168</v>
      </c>
      <c r="B141" s="85"/>
      <c r="C141" s="85"/>
      <c r="D141" s="85"/>
    </row>
    <row r="142" spans="1:4">
      <c r="A142" s="3" t="s">
        <v>2</v>
      </c>
      <c r="B142" s="3" t="s">
        <v>169</v>
      </c>
      <c r="C142" s="3" t="s">
        <v>95</v>
      </c>
      <c r="D142" s="3" t="s">
        <v>5</v>
      </c>
    </row>
    <row r="143" spans="1:4">
      <c r="A143" s="3" t="s">
        <v>28</v>
      </c>
      <c r="B143" t="s">
        <v>22</v>
      </c>
      <c r="D143" s="90">
        <f>Módulo1379[[#Totals],[Valor]]</f>
        <v>1406.74</v>
      </c>
    </row>
    <row r="144" spans="1:4">
      <c r="A144" s="3" t="s">
        <v>31</v>
      </c>
      <c r="B144" t="s">
        <v>47</v>
      </c>
      <c r="D144" s="90">
        <f>ResumoMódulo2983[[#Totals],[Valor]]</f>
        <v>1091.7004</v>
      </c>
    </row>
    <row r="145" spans="1:4">
      <c r="A145" s="3" t="s">
        <v>34</v>
      </c>
      <c r="B145" t="s">
        <v>101</v>
      </c>
      <c r="D145" s="90">
        <f>Módulo32484[[#Totals],[Valor]]</f>
        <v>215.150136388889</v>
      </c>
    </row>
    <row r="146" spans="1:4">
      <c r="A146" s="3" t="s">
        <v>36</v>
      </c>
      <c r="B146" t="s">
        <v>170</v>
      </c>
      <c r="D146" s="90">
        <f>ResumoMódulo42787[[#Totals],[Valor]]</f>
        <v>231.422338646456</v>
      </c>
    </row>
    <row r="147" spans="1:4">
      <c r="A147" s="3" t="s">
        <v>39</v>
      </c>
      <c r="B147" t="s">
        <v>148</v>
      </c>
      <c r="D147" s="90" t="e">
        <f>Módulo52888[[#Totals],[Valor]]</f>
        <v>#REF!</v>
      </c>
    </row>
    <row r="148" spans="1:4">
      <c r="A148" t="s">
        <v>171</v>
      </c>
      <c r="D148" s="90" t="e">
        <f>SUM(D143:D147)</f>
        <v>#REF!</v>
      </c>
    </row>
    <row r="149" spans="1:4">
      <c r="A149" s="3" t="s">
        <v>41</v>
      </c>
      <c r="B149" t="s">
        <v>160</v>
      </c>
      <c r="D149" s="90" t="e">
        <f>Módulo62989[[#Totals],[Valor]]</f>
        <v>#REF!</v>
      </c>
    </row>
    <row r="150" spans="1:4">
      <c r="A150" s="71" t="s">
        <v>172</v>
      </c>
      <c r="B150" s="71"/>
      <c r="C150" s="71"/>
      <c r="D150" s="135"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1" workbookViewId="0">
      <selection activeCell="F35" sqref="F35"/>
    </sheetView>
  </sheetViews>
  <sheetFormatPr defaultColWidth="9.14285714285714" defaultRowHeight="15" outlineLevelCol="6"/>
  <cols>
    <col min="1" max="1" width="26.8571428571429" customWidth="1"/>
    <col min="2" max="2" width="55.2857142857143" customWidth="1"/>
    <col min="3" max="3" width="28.1428571428571" customWidth="1"/>
    <col min="4" max="4" width="13.5714285714286" customWidth="1"/>
    <col min="6" max="6" width="29.2857142857143" customWidth="1"/>
    <col min="7" max="7" width="11.4285714285714" customWidth="1"/>
  </cols>
  <sheetData>
    <row r="1" spans="1:7">
      <c r="A1" s="77" t="s">
        <v>0</v>
      </c>
      <c r="B1" s="77"/>
      <c r="C1" s="77"/>
      <c r="D1" s="77"/>
      <c r="F1" s="1" t="s">
        <v>1</v>
      </c>
      <c r="G1" s="1"/>
    </row>
    <row r="2" spans="1:7">
      <c r="A2" s="3" t="s">
        <v>2</v>
      </c>
      <c r="B2" t="s">
        <v>3</v>
      </c>
      <c r="C2" s="3" t="s">
        <v>4</v>
      </c>
      <c r="D2" s="3" t="s">
        <v>5</v>
      </c>
      <c r="F2" t="s">
        <v>3</v>
      </c>
      <c r="G2" t="s">
        <v>5</v>
      </c>
    </row>
    <row r="3" spans="1:7">
      <c r="A3" s="3">
        <v>1</v>
      </c>
      <c r="B3" t="s">
        <v>6</v>
      </c>
      <c r="C3" s="3"/>
      <c r="D3" s="3" t="s">
        <v>7</v>
      </c>
      <c r="F3" t="s">
        <v>8</v>
      </c>
      <c r="G3" s="78">
        <v>4.15</v>
      </c>
    </row>
    <row r="4" spans="1:7">
      <c r="A4" s="3">
        <v>2</v>
      </c>
      <c r="B4" t="s">
        <v>9</v>
      </c>
      <c r="C4" s="3"/>
      <c r="D4" s="3" t="s">
        <v>174</v>
      </c>
      <c r="F4" t="s">
        <v>11</v>
      </c>
      <c r="G4" s="78">
        <v>16</v>
      </c>
    </row>
    <row r="5" spans="1:7">
      <c r="A5" s="3">
        <v>3</v>
      </c>
      <c r="B5" t="s">
        <v>12</v>
      </c>
      <c r="C5" s="3" t="s">
        <v>175</v>
      </c>
      <c r="D5" s="79">
        <v>1051.02</v>
      </c>
      <c r="F5" t="s">
        <v>14</v>
      </c>
      <c r="G5" s="80">
        <v>22</v>
      </c>
    </row>
    <row r="6" spans="1:7">
      <c r="A6" s="3">
        <v>4</v>
      </c>
      <c r="B6" t="s">
        <v>15</v>
      </c>
      <c r="C6" s="3" t="s">
        <v>176</v>
      </c>
      <c r="D6" s="3" t="s">
        <v>177</v>
      </c>
      <c r="F6" t="s">
        <v>18</v>
      </c>
      <c r="G6" s="81">
        <v>0.06</v>
      </c>
    </row>
    <row r="7" spans="1:7">
      <c r="A7" s="3">
        <v>5</v>
      </c>
      <c r="B7" t="s">
        <v>19</v>
      </c>
      <c r="C7" s="3"/>
      <c r="D7" s="3" t="s">
        <v>20</v>
      </c>
      <c r="F7" t="s">
        <v>178</v>
      </c>
      <c r="G7" s="82">
        <f>'Áreas e Produtividade'!M21</f>
        <v>3</v>
      </c>
    </row>
    <row r="8" spans="6:7">
      <c r="F8" s="83" t="s">
        <v>179</v>
      </c>
      <c r="G8" s="84">
        <v>1045</v>
      </c>
    </row>
    <row r="9" ht="30" spans="1:7">
      <c r="A9" s="85" t="s">
        <v>22</v>
      </c>
      <c r="B9" s="85"/>
      <c r="C9" s="85"/>
      <c r="D9" s="85"/>
      <c r="F9" s="86" t="s">
        <v>180</v>
      </c>
      <c r="G9" s="87"/>
    </row>
    <row r="10" spans="1:7">
      <c r="A10" s="3" t="s">
        <v>25</v>
      </c>
      <c r="B10" t="s">
        <v>26</v>
      </c>
      <c r="C10" s="3" t="s">
        <v>4</v>
      </c>
      <c r="D10" s="3" t="s">
        <v>5</v>
      </c>
      <c r="F10" s="88"/>
      <c r="G10" s="89"/>
    </row>
    <row r="11" spans="1:7">
      <c r="A11" s="3" t="s">
        <v>28</v>
      </c>
      <c r="B11" t="s">
        <v>29</v>
      </c>
      <c r="C11" s="3"/>
      <c r="D11" s="90">
        <f>D5</f>
        <v>1051.02</v>
      </c>
      <c r="F11" s="88"/>
      <c r="G11" s="89"/>
    </row>
    <row r="12" spans="1:7">
      <c r="A12" s="3" t="s">
        <v>31</v>
      </c>
      <c r="B12" t="s">
        <v>32</v>
      </c>
      <c r="C12" s="3"/>
      <c r="D12" s="90"/>
      <c r="F12" s="88"/>
      <c r="G12" s="89"/>
    </row>
    <row r="13" spans="1:7">
      <c r="A13" s="3" t="s">
        <v>34</v>
      </c>
      <c r="B13" t="s">
        <v>35</v>
      </c>
      <c r="C13" s="3" t="s">
        <v>181</v>
      </c>
      <c r="D13" s="90">
        <f>TRUNC(G8*40%,2)</f>
        <v>418</v>
      </c>
      <c r="F13" s="88"/>
      <c r="G13" s="89"/>
    </row>
    <row r="14" spans="1:7">
      <c r="A14" s="3" t="s">
        <v>36</v>
      </c>
      <c r="B14" t="s">
        <v>37</v>
      </c>
      <c r="C14" s="3"/>
      <c r="D14" s="90"/>
      <c r="F14" s="88"/>
      <c r="G14" s="89"/>
    </row>
    <row r="15" spans="1:7">
      <c r="A15" s="3" t="s">
        <v>39</v>
      </c>
      <c r="B15" t="s">
        <v>40</v>
      </c>
      <c r="C15" s="3"/>
      <c r="D15" s="90"/>
      <c r="F15" s="88"/>
      <c r="G15" s="89"/>
    </row>
    <row r="16" spans="1:7">
      <c r="A16" s="3" t="s">
        <v>41</v>
      </c>
      <c r="B16" t="s">
        <v>42</v>
      </c>
      <c r="C16" s="3"/>
      <c r="D16" s="90"/>
      <c r="F16" s="88"/>
      <c r="G16" s="89"/>
    </row>
    <row r="17" spans="1:7">
      <c r="A17" s="3" t="s">
        <v>44</v>
      </c>
      <c r="C17" s="3"/>
      <c r="D17" s="90">
        <f>TRUNC(SUM(D11:D16),2)</f>
        <v>1469.02</v>
      </c>
      <c r="F17" s="88"/>
      <c r="G17" s="89"/>
    </row>
    <row r="18" spans="6:7">
      <c r="F18" s="88"/>
      <c r="G18" s="89"/>
    </row>
    <row r="19" spans="1:7">
      <c r="A19" s="91" t="s">
        <v>47</v>
      </c>
      <c r="B19" s="91"/>
      <c r="C19" s="91"/>
      <c r="D19" s="91"/>
      <c r="F19" s="88"/>
      <c r="G19" s="89"/>
    </row>
    <row r="20" spans="1:7">
      <c r="A20" s="1" t="s">
        <v>49</v>
      </c>
      <c r="B20" s="1"/>
      <c r="C20" s="1"/>
      <c r="D20" s="1"/>
      <c r="F20" s="88"/>
      <c r="G20" s="89"/>
    </row>
    <row r="21" spans="1:7">
      <c r="A21" s="3" t="s">
        <v>51</v>
      </c>
      <c r="B21" t="s">
        <v>52</v>
      </c>
      <c r="C21" s="3" t="s">
        <v>4</v>
      </c>
      <c r="D21" s="3" t="s">
        <v>5</v>
      </c>
      <c r="F21" s="88"/>
      <c r="G21" s="89"/>
    </row>
    <row r="22" spans="1:7">
      <c r="A22" s="3" t="s">
        <v>28</v>
      </c>
      <c r="B22" t="s">
        <v>53</v>
      </c>
      <c r="C22" s="92">
        <f>(1/12)</f>
        <v>0.0833333333333333</v>
      </c>
      <c r="D22" s="90">
        <f>TRUNC($D$17*C22,2)</f>
        <v>122.41</v>
      </c>
      <c r="F22" s="88"/>
      <c r="G22" s="89"/>
    </row>
    <row r="23" spans="1:7">
      <c r="A23" s="3" t="s">
        <v>31</v>
      </c>
      <c r="B23" t="s">
        <v>55</v>
      </c>
      <c r="C23" s="92">
        <f>(((1+1/3)/12))</f>
        <v>0.111111111111111</v>
      </c>
      <c r="D23" s="90">
        <f>TRUNC($D$17*C23,2)</f>
        <v>163.22</v>
      </c>
      <c r="E23" s="93"/>
      <c r="F23" s="88"/>
      <c r="G23" s="89"/>
    </row>
    <row r="24" spans="1:7">
      <c r="A24" s="3" t="s">
        <v>44</v>
      </c>
      <c r="D24" s="90">
        <f>TRUNC(SUM(D22:D23),2)</f>
        <v>285.63</v>
      </c>
      <c r="F24" s="88"/>
      <c r="G24" s="89"/>
    </row>
    <row r="25" ht="15.75" spans="1:7">
      <c r="A25" s="3"/>
      <c r="D25" s="90"/>
      <c r="F25" s="88"/>
      <c r="G25" s="89"/>
    </row>
    <row r="26" ht="16.5" spans="1:7">
      <c r="A26" s="94" t="s">
        <v>182</v>
      </c>
      <c r="B26" s="94"/>
      <c r="C26" s="95" t="s">
        <v>183</v>
      </c>
      <c r="D26" s="96">
        <f>D17</f>
        <v>1469.02</v>
      </c>
      <c r="F26" s="97"/>
      <c r="G26" s="97"/>
    </row>
    <row r="27" ht="16.5" spans="1:7">
      <c r="A27" s="94"/>
      <c r="B27" s="94"/>
      <c r="C27" s="98" t="s">
        <v>184</v>
      </c>
      <c r="D27" s="96">
        <f>D24</f>
        <v>285.63</v>
      </c>
      <c r="F27" s="97"/>
      <c r="G27" s="97"/>
    </row>
    <row r="28" ht="16.5" spans="1:7">
      <c r="A28" s="94"/>
      <c r="B28" s="94"/>
      <c r="C28" s="95" t="s">
        <v>185</v>
      </c>
      <c r="D28" s="99">
        <f>TRUNC(SUM(D26:D27),2)</f>
        <v>1754.65</v>
      </c>
      <c r="F28" s="97"/>
      <c r="G28" s="97"/>
    </row>
    <row r="29" ht="15.75" spans="1:7">
      <c r="A29" s="3"/>
      <c r="B29" s="3"/>
      <c r="C29" s="100"/>
      <c r="F29" s="97"/>
      <c r="G29" s="97"/>
    </row>
    <row r="30" spans="1:4">
      <c r="A30" s="1" t="s">
        <v>66</v>
      </c>
      <c r="B30" s="1"/>
      <c r="C30" s="1"/>
      <c r="D30" s="1"/>
    </row>
    <row r="31" spans="1:4">
      <c r="A31" s="3" t="s">
        <v>67</v>
      </c>
      <c r="B31" t="s">
        <v>68</v>
      </c>
      <c r="C31" s="3" t="s">
        <v>24</v>
      </c>
      <c r="D31" s="3" t="s">
        <v>69</v>
      </c>
    </row>
    <row r="32" spans="1:4">
      <c r="A32" s="3" t="s">
        <v>28</v>
      </c>
      <c r="B32" t="s">
        <v>70</v>
      </c>
      <c r="C32" s="101">
        <v>0.2</v>
      </c>
      <c r="D32" s="90">
        <f t="shared" ref="D32:D39" si="0">TRUNC(($D$28*C32),2)</f>
        <v>350.93</v>
      </c>
    </row>
    <row r="33" spans="1:4">
      <c r="A33" s="3" t="s">
        <v>31</v>
      </c>
      <c r="B33" t="s">
        <v>71</v>
      </c>
      <c r="C33" s="101">
        <v>0.025</v>
      </c>
      <c r="D33" s="90">
        <f t="shared" si="0"/>
        <v>43.86</v>
      </c>
    </row>
    <row r="34" spans="1:4">
      <c r="A34" s="3" t="s">
        <v>34</v>
      </c>
      <c r="B34" t="s">
        <v>72</v>
      </c>
      <c r="C34" s="102">
        <v>0</v>
      </c>
      <c r="D34" s="103">
        <f t="shared" si="0"/>
        <v>0</v>
      </c>
    </row>
    <row r="35" spans="1:4">
      <c r="A35" s="3" t="s">
        <v>36</v>
      </c>
      <c r="B35" t="s">
        <v>73</v>
      </c>
      <c r="C35" s="101">
        <v>0.015</v>
      </c>
      <c r="D35" s="90">
        <f t="shared" si="0"/>
        <v>26.31</v>
      </c>
    </row>
    <row r="36" spans="1:4">
      <c r="A36" s="3" t="s">
        <v>39</v>
      </c>
      <c r="B36" t="s">
        <v>74</v>
      </c>
      <c r="C36" s="101">
        <v>0.01</v>
      </c>
      <c r="D36" s="90">
        <f t="shared" si="0"/>
        <v>17.54</v>
      </c>
    </row>
    <row r="37" spans="1:4">
      <c r="A37" s="3" t="s">
        <v>41</v>
      </c>
      <c r="B37" t="s">
        <v>75</v>
      </c>
      <c r="C37" s="101">
        <v>0.006</v>
      </c>
      <c r="D37" s="90">
        <f t="shared" si="0"/>
        <v>10.52</v>
      </c>
    </row>
    <row r="38" spans="1:4">
      <c r="A38" s="3" t="s">
        <v>76</v>
      </c>
      <c r="B38" t="s">
        <v>77</v>
      </c>
      <c r="C38" s="101">
        <v>0.002</v>
      </c>
      <c r="D38" s="90">
        <f t="shared" si="0"/>
        <v>3.5</v>
      </c>
    </row>
    <row r="39" spans="1:4">
      <c r="A39" s="3" t="s">
        <v>78</v>
      </c>
      <c r="B39" t="s">
        <v>79</v>
      </c>
      <c r="C39" s="101">
        <v>0.08</v>
      </c>
      <c r="D39" s="90">
        <f t="shared" si="0"/>
        <v>140.37</v>
      </c>
    </row>
    <row r="40" spans="1:4">
      <c r="A40" s="3" t="s">
        <v>44</v>
      </c>
      <c r="C40" s="104">
        <f>SUBTOTAL(109,Submódulo2.267_75136149163[Percentual])</f>
        <v>0.338</v>
      </c>
      <c r="D40" s="90">
        <f>TRUNC(SUM(D32:D39),2)</f>
        <v>593.03</v>
      </c>
    </row>
    <row r="41" spans="1:4">
      <c r="A41" s="3"/>
      <c r="C41" s="104"/>
      <c r="D41" s="90"/>
    </row>
    <row r="42" spans="1:4">
      <c r="A42" s="1" t="s">
        <v>84</v>
      </c>
      <c r="B42" s="1"/>
      <c r="C42" s="1"/>
      <c r="D42" s="1"/>
    </row>
    <row r="43" spans="1:4">
      <c r="A43" s="3" t="s">
        <v>85</v>
      </c>
      <c r="B43" t="s">
        <v>86</v>
      </c>
      <c r="C43" s="3" t="s">
        <v>4</v>
      </c>
      <c r="D43" s="3" t="s">
        <v>5</v>
      </c>
    </row>
    <row r="44" spans="1:4">
      <c r="A44" s="3" t="s">
        <v>28</v>
      </c>
      <c r="B44" t="s">
        <v>87</v>
      </c>
      <c r="D44" s="103">
        <f>TRUNC(((G5*G3)*2)-((D5/100)*6),2)</f>
        <v>119.53</v>
      </c>
    </row>
    <row r="45" spans="1:4">
      <c r="A45" s="3" t="s">
        <v>31</v>
      </c>
      <c r="B45" t="s">
        <v>88</v>
      </c>
      <c r="D45" s="103">
        <f>TRUNC((((G5*G4))-(((G5*G4))*0.2)),2)</f>
        <v>281.6</v>
      </c>
    </row>
    <row r="46" spans="1:4">
      <c r="A46" s="3" t="s">
        <v>34</v>
      </c>
      <c r="B46" t="s">
        <v>89</v>
      </c>
      <c r="C46" s="105" t="s">
        <v>176</v>
      </c>
      <c r="D46" s="103">
        <v>5</v>
      </c>
    </row>
    <row r="47" spans="1:4">
      <c r="A47" s="3" t="s">
        <v>36</v>
      </c>
      <c r="B47" t="s">
        <v>90</v>
      </c>
      <c r="C47" s="105" t="s">
        <v>176</v>
      </c>
      <c r="D47" s="103">
        <v>4</v>
      </c>
    </row>
    <row r="48" spans="1:4">
      <c r="A48" s="3" t="s">
        <v>39</v>
      </c>
      <c r="B48" t="s">
        <v>92</v>
      </c>
      <c r="C48" s="105" t="s">
        <v>176</v>
      </c>
      <c r="D48" s="103">
        <v>15</v>
      </c>
    </row>
    <row r="49" spans="1:4">
      <c r="A49" s="3" t="s">
        <v>44</v>
      </c>
      <c r="D49" s="90">
        <f>TRUNC(SUM(D44:D48),2)</f>
        <v>425.13</v>
      </c>
    </row>
    <row r="50" spans="1:4">
      <c r="A50" s="3"/>
      <c r="D50" s="90"/>
    </row>
    <row r="51" spans="1:4">
      <c r="A51" s="1" t="s">
        <v>98</v>
      </c>
      <c r="B51" s="1"/>
      <c r="C51" s="1"/>
      <c r="D51" s="1"/>
    </row>
    <row r="52" spans="1:4">
      <c r="A52" s="3" t="s">
        <v>99</v>
      </c>
      <c r="B52" t="s">
        <v>100</v>
      </c>
      <c r="C52" s="3" t="s">
        <v>4</v>
      </c>
      <c r="D52" s="3" t="s">
        <v>5</v>
      </c>
    </row>
    <row r="53" spans="1:4">
      <c r="A53" s="3" t="s">
        <v>51</v>
      </c>
      <c r="B53" t="s">
        <v>52</v>
      </c>
      <c r="C53" s="3"/>
      <c r="D53" s="90">
        <f>D24</f>
        <v>285.63</v>
      </c>
    </row>
    <row r="54" spans="1:4">
      <c r="A54" s="3" t="s">
        <v>67</v>
      </c>
      <c r="B54" t="s">
        <v>68</v>
      </c>
      <c r="C54" s="3"/>
      <c r="D54" s="90">
        <f>D40</f>
        <v>593.03</v>
      </c>
    </row>
    <row r="55" spans="1:4">
      <c r="A55" s="3" t="s">
        <v>85</v>
      </c>
      <c r="B55" t="s">
        <v>86</v>
      </c>
      <c r="C55" s="3"/>
      <c r="D55" s="90">
        <f>D49</f>
        <v>425.13</v>
      </c>
    </row>
    <row r="56" spans="1:4">
      <c r="A56" s="3" t="s">
        <v>44</v>
      </c>
      <c r="C56" s="3"/>
      <c r="D56" s="90">
        <f>TRUNC(SUM(D53:D55),2)</f>
        <v>1303.79</v>
      </c>
    </row>
    <row r="58" spans="1:4">
      <c r="A58" s="85" t="s">
        <v>101</v>
      </c>
      <c r="B58" s="85"/>
      <c r="C58" s="85"/>
      <c r="D58" s="85"/>
    </row>
    <row r="59" spans="1:4">
      <c r="A59" s="3" t="s">
        <v>102</v>
      </c>
      <c r="B59" t="s">
        <v>103</v>
      </c>
      <c r="C59" s="3" t="s">
        <v>4</v>
      </c>
      <c r="D59" s="3" t="s">
        <v>5</v>
      </c>
    </row>
    <row r="60" spans="1:4">
      <c r="A60" s="3" t="s">
        <v>28</v>
      </c>
      <c r="B60" s="8" t="s">
        <v>104</v>
      </c>
      <c r="C60" s="106">
        <f>((1/12)*0.05)</f>
        <v>0.00416666666666667</v>
      </c>
      <c r="D60" s="107">
        <f>TRUNC(($D$17*C60),2)</f>
        <v>6.12</v>
      </c>
    </row>
    <row r="61" spans="1:4">
      <c r="A61" s="3" t="s">
        <v>31</v>
      </c>
      <c r="B61" s="8" t="s">
        <v>105</v>
      </c>
      <c r="C61" s="92">
        <v>0.08</v>
      </c>
      <c r="D61" s="5">
        <f>TRUNC(D60*C61,2)</f>
        <v>0.48</v>
      </c>
    </row>
    <row r="62" ht="30" spans="1:4">
      <c r="A62" s="3" t="s">
        <v>34</v>
      </c>
      <c r="B62" s="8" t="s">
        <v>106</v>
      </c>
      <c r="C62" s="106">
        <f>(0.08*0.4*0.05)</f>
        <v>0.0016</v>
      </c>
      <c r="D62" s="107">
        <f>TRUNC(($D$17*C62),2)</f>
        <v>2.35</v>
      </c>
    </row>
    <row r="63" spans="1:4">
      <c r="A63" s="3" t="s">
        <v>36</v>
      </c>
      <c r="B63" s="8" t="s">
        <v>107</v>
      </c>
      <c r="C63" s="92">
        <f>(((7/30)/12)*0.95)</f>
        <v>0.0184722222222222</v>
      </c>
      <c r="D63" s="5">
        <f>TRUNC(($D$17*C63),2)</f>
        <v>27.13</v>
      </c>
    </row>
    <row r="64" ht="30" spans="1:4">
      <c r="A64" s="3" t="s">
        <v>39</v>
      </c>
      <c r="B64" s="8" t="s">
        <v>186</v>
      </c>
      <c r="C64" s="92">
        <f>C40</f>
        <v>0.338</v>
      </c>
      <c r="D64" s="5">
        <f>TRUNC(D63*C64,2)</f>
        <v>9.16</v>
      </c>
    </row>
    <row r="65" ht="30" spans="1:4">
      <c r="A65" s="3" t="s">
        <v>41</v>
      </c>
      <c r="B65" s="8" t="s">
        <v>108</v>
      </c>
      <c r="C65" s="106">
        <f>(0.08*0.4*0.95)</f>
        <v>0.0304</v>
      </c>
      <c r="D65" s="107">
        <f>TRUNC(($D$17*C65),2)</f>
        <v>44.65</v>
      </c>
    </row>
    <row r="66" spans="1:4">
      <c r="A66" s="3" t="s">
        <v>44</v>
      </c>
      <c r="D66" s="90">
        <f>TRUNC(SUM(D60:D65),2)</f>
        <v>89.89</v>
      </c>
    </row>
    <row r="67" ht="15.75" spans="1:4">
      <c r="A67" s="3"/>
      <c r="D67" s="90"/>
    </row>
    <row r="68" ht="16.5" spans="1:4">
      <c r="A68" s="94" t="s">
        <v>187</v>
      </c>
      <c r="B68" s="94"/>
      <c r="C68" s="95" t="s">
        <v>183</v>
      </c>
      <c r="D68" s="96">
        <f>D17</f>
        <v>1469.02</v>
      </c>
    </row>
    <row r="69" ht="16.5" spans="1:4">
      <c r="A69" s="94"/>
      <c r="B69" s="94"/>
      <c r="C69" s="98" t="s">
        <v>188</v>
      </c>
      <c r="D69" s="96">
        <f>D56</f>
        <v>1303.79</v>
      </c>
    </row>
    <row r="70" ht="16.5" spans="1:4">
      <c r="A70" s="94"/>
      <c r="B70" s="94"/>
      <c r="C70" s="95" t="s">
        <v>189</v>
      </c>
      <c r="D70" s="96">
        <f>D66</f>
        <v>89.89</v>
      </c>
    </row>
    <row r="71" ht="16.5" spans="1:4">
      <c r="A71" s="94"/>
      <c r="B71" s="94"/>
      <c r="C71" s="98" t="s">
        <v>185</v>
      </c>
      <c r="D71" s="99">
        <f>TRUNC((SUM(D68:D70)),2)</f>
        <v>2862.7</v>
      </c>
    </row>
    <row r="72" ht="15.75" spans="1:4">
      <c r="A72" s="3"/>
      <c r="D72" s="90"/>
    </row>
    <row r="73" spans="1:4">
      <c r="A73" s="108" t="s">
        <v>120</v>
      </c>
      <c r="B73" s="91"/>
      <c r="C73" s="91"/>
      <c r="D73" s="91"/>
    </row>
    <row r="74" spans="1:4">
      <c r="A74" s="109" t="s">
        <v>121</v>
      </c>
      <c r="B74" s="109"/>
      <c r="C74" s="109"/>
      <c r="D74" s="109"/>
    </row>
    <row r="75" spans="1:4">
      <c r="A75" s="3" t="s">
        <v>122</v>
      </c>
      <c r="B75" t="s">
        <v>123</v>
      </c>
      <c r="C75" s="3" t="s">
        <v>124</v>
      </c>
      <c r="D75" s="3" t="s">
        <v>5</v>
      </c>
    </row>
    <row r="76" spans="1:5">
      <c r="A76" s="3" t="s">
        <v>28</v>
      </c>
      <c r="B76" s="8" t="s">
        <v>125</v>
      </c>
      <c r="C76" s="106">
        <f>((1+1/3)/12)/12</f>
        <v>0.00925925925925926</v>
      </c>
      <c r="D76" s="90">
        <f t="shared" ref="D76:D81" si="1">TRUNC(($D$71*C76),2)</f>
        <v>26.5</v>
      </c>
      <c r="E76" s="93"/>
    </row>
    <row r="77" spans="1:5">
      <c r="A77" s="3" t="s">
        <v>31</v>
      </c>
      <c r="B77" s="8" t="s">
        <v>126</v>
      </c>
      <c r="C77" s="106">
        <f>((2/30)/12)</f>
        <v>0.00555555555555556</v>
      </c>
      <c r="D77" s="90">
        <f t="shared" si="1"/>
        <v>15.9</v>
      </c>
      <c r="E77" s="93"/>
    </row>
    <row r="78" spans="1:5">
      <c r="A78" s="3" t="s">
        <v>34</v>
      </c>
      <c r="B78" s="8" t="s">
        <v>127</v>
      </c>
      <c r="C78" s="106">
        <v>0.000277777777777778</v>
      </c>
      <c r="D78" s="90">
        <f t="shared" si="1"/>
        <v>0.79</v>
      </c>
      <c r="E78" s="93"/>
    </row>
    <row r="79" spans="1:5">
      <c r="A79" s="3" t="s">
        <v>36</v>
      </c>
      <c r="B79" s="8" t="s">
        <v>128</v>
      </c>
      <c r="C79" s="106">
        <f>((15/30)/12)*0.08</f>
        <v>0.00333333333333333</v>
      </c>
      <c r="D79" s="90">
        <f t="shared" si="1"/>
        <v>9.54</v>
      </c>
      <c r="E79" s="93"/>
    </row>
    <row r="80" spans="1:5">
      <c r="A80" s="3" t="s">
        <v>39</v>
      </c>
      <c r="B80" s="8" t="s">
        <v>129</v>
      </c>
      <c r="C80" s="106">
        <f>((1+1/3)/12)*0.03*((4/12))</f>
        <v>0.00111111111111111</v>
      </c>
      <c r="D80" s="90">
        <f t="shared" si="1"/>
        <v>3.18</v>
      </c>
      <c r="E80" s="93"/>
    </row>
    <row r="81" spans="1:5">
      <c r="A81" s="3" t="s">
        <v>41</v>
      </c>
      <c r="B81" s="8" t="s">
        <v>190</v>
      </c>
      <c r="C81" s="106">
        <v>0</v>
      </c>
      <c r="D81" s="90">
        <f t="shared" si="1"/>
        <v>0</v>
      </c>
      <c r="E81" s="93"/>
    </row>
    <row r="82" spans="1:4">
      <c r="A82" s="3" t="s">
        <v>44</v>
      </c>
      <c r="C82" s="110">
        <f>SUBTOTAL(109,Submódulo4.12511_4132144159[Dias de ausência])</f>
        <v>0.019537037037037</v>
      </c>
      <c r="D82" s="90">
        <f>TRUNC(SUM(D76:D81),2)</f>
        <v>55.91</v>
      </c>
    </row>
    <row r="83" spans="1:4">
      <c r="A83" s="3"/>
      <c r="C83" s="3"/>
      <c r="D83" s="90"/>
    </row>
    <row r="84" spans="1:4">
      <c r="A84" s="1" t="s">
        <v>140</v>
      </c>
      <c r="B84" s="1"/>
      <c r="C84" s="1"/>
      <c r="D84" s="1"/>
    </row>
    <row r="85" spans="1:4">
      <c r="A85" s="3" t="s">
        <v>141</v>
      </c>
      <c r="B85" t="s">
        <v>142</v>
      </c>
      <c r="C85" s="3" t="s">
        <v>4</v>
      </c>
      <c r="D85" s="3" t="s">
        <v>5</v>
      </c>
    </row>
    <row r="86" spans="1:4">
      <c r="A86" s="3" t="s">
        <v>28</v>
      </c>
      <c r="B86" t="s">
        <v>143</v>
      </c>
      <c r="C86" s="3"/>
      <c r="D86" s="90"/>
    </row>
    <row r="87" spans="1:4">
      <c r="A87" s="3" t="s">
        <v>44</v>
      </c>
      <c r="C87" s="3"/>
      <c r="D87" s="90">
        <f>SUBTOTAL(109,Submódulo4.22612_31129147158[Valor])</f>
        <v>0</v>
      </c>
    </row>
    <row r="89" spans="1:4">
      <c r="A89" s="109" t="s">
        <v>144</v>
      </c>
      <c r="B89" s="109"/>
      <c r="C89" s="109"/>
      <c r="D89" s="109"/>
    </row>
    <row r="90" spans="1:4">
      <c r="A90" s="3" t="s">
        <v>145</v>
      </c>
      <c r="B90" t="s">
        <v>146</v>
      </c>
      <c r="C90" s="3" t="s">
        <v>4</v>
      </c>
      <c r="D90" s="3" t="s">
        <v>5</v>
      </c>
    </row>
    <row r="91" spans="1:4">
      <c r="A91" s="3" t="s">
        <v>122</v>
      </c>
      <c r="B91" t="s">
        <v>123</v>
      </c>
      <c r="D91" s="90">
        <f>D82</f>
        <v>55.91</v>
      </c>
    </row>
    <row r="92" spans="1:4">
      <c r="A92" s="3" t="s">
        <v>141</v>
      </c>
      <c r="B92" t="s">
        <v>147</v>
      </c>
      <c r="D92" s="90">
        <f>Submódulo4.22612_31129147158[[#Totals],[Valor]]</f>
        <v>0</v>
      </c>
    </row>
    <row r="93" spans="1:4">
      <c r="A93" s="3" t="s">
        <v>44</v>
      </c>
      <c r="D93" s="90">
        <f>TRUNC(SUM(D91:D92),2)</f>
        <v>55.91</v>
      </c>
    </row>
    <row r="95" spans="1:4">
      <c r="A95" s="85" t="s">
        <v>148</v>
      </c>
      <c r="B95" s="85"/>
      <c r="C95" s="85"/>
      <c r="D95" s="85"/>
    </row>
    <row r="96" spans="1:4">
      <c r="A96" s="3" t="s">
        <v>149</v>
      </c>
      <c r="B96" t="s">
        <v>150</v>
      </c>
      <c r="C96" s="3" t="s">
        <v>4</v>
      </c>
      <c r="D96" s="3" t="s">
        <v>5</v>
      </c>
    </row>
    <row r="97" spans="1:4">
      <c r="A97" s="3" t="s">
        <v>28</v>
      </c>
      <c r="B97" t="s">
        <v>191</v>
      </c>
      <c r="D97" s="111">
        <f>'Uniformes EPI EPC'!F15</f>
        <v>0</v>
      </c>
    </row>
    <row r="98" spans="1:4">
      <c r="A98" s="3" t="s">
        <v>31</v>
      </c>
      <c r="B98" t="s">
        <v>152</v>
      </c>
      <c r="D98" s="111">
        <f>Materiais!F70</f>
        <v>0</v>
      </c>
    </row>
    <row r="99" spans="1:4">
      <c r="A99" s="3" t="s">
        <v>34</v>
      </c>
      <c r="B99" t="s">
        <v>153</v>
      </c>
      <c r="D99" s="111">
        <f>Equipamentos!F10</f>
        <v>7.33</v>
      </c>
    </row>
    <row r="100" spans="1:4">
      <c r="A100" s="3" t="s">
        <v>36</v>
      </c>
      <c r="B100" t="s">
        <v>192</v>
      </c>
      <c r="D100" s="111">
        <f>'Uniformes EPI EPC'!F31</f>
        <v>0</v>
      </c>
    </row>
    <row r="101" spans="1:4">
      <c r="A101" s="3" t="s">
        <v>44</v>
      </c>
      <c r="D101" s="90">
        <f>TRUNC(SUM(D97:D100),2)</f>
        <v>7.33</v>
      </c>
    </row>
    <row r="102" ht="15.75" spans="1:4">
      <c r="A102" s="3"/>
      <c r="D102" s="90"/>
    </row>
    <row r="103" ht="16.5" spans="1:4">
      <c r="A103" s="94" t="s">
        <v>193</v>
      </c>
      <c r="B103" s="94"/>
      <c r="C103" s="95" t="s">
        <v>183</v>
      </c>
      <c r="D103" s="96">
        <f>D17</f>
        <v>1469.02</v>
      </c>
    </row>
    <row r="104" ht="16.5" spans="1:4">
      <c r="A104" s="94"/>
      <c r="B104" s="94"/>
      <c r="C104" s="98" t="s">
        <v>188</v>
      </c>
      <c r="D104" s="96">
        <f>D56</f>
        <v>1303.79</v>
      </c>
    </row>
    <row r="105" ht="16.5" spans="1:4">
      <c r="A105" s="94"/>
      <c r="B105" s="94"/>
      <c r="C105" s="95" t="s">
        <v>189</v>
      </c>
      <c r="D105" s="96">
        <f>D66</f>
        <v>89.89</v>
      </c>
    </row>
    <row r="106" ht="16.5" spans="1:4">
      <c r="A106" s="94"/>
      <c r="B106" s="94"/>
      <c r="C106" s="98" t="s">
        <v>194</v>
      </c>
      <c r="D106" s="96">
        <f>D93</f>
        <v>55.91</v>
      </c>
    </row>
    <row r="107" ht="16.5" spans="1:4">
      <c r="A107" s="94"/>
      <c r="B107" s="94"/>
      <c r="C107" s="95" t="s">
        <v>195</v>
      </c>
      <c r="D107" s="96">
        <f>D101</f>
        <v>7.33</v>
      </c>
    </row>
    <row r="108" ht="16.5" spans="1:4">
      <c r="A108" s="94"/>
      <c r="B108" s="94"/>
      <c r="C108" s="98" t="s">
        <v>185</v>
      </c>
      <c r="D108" s="99">
        <f>TRUNC((SUM(D103:D107)),2)</f>
        <v>2925.94</v>
      </c>
    </row>
    <row r="109" ht="15.75" spans="1:4">
      <c r="A109" s="3"/>
      <c r="D109" s="90"/>
    </row>
    <row r="110" ht="15.75" spans="1:7">
      <c r="A110" s="85" t="s">
        <v>160</v>
      </c>
      <c r="B110" s="85"/>
      <c r="C110" s="85"/>
      <c r="D110" s="85"/>
      <c r="F110" s="112" t="s">
        <v>196</v>
      </c>
      <c r="G110" s="112"/>
    </row>
    <row r="111" ht="15.75" spans="1:7">
      <c r="A111" s="3" t="s">
        <v>161</v>
      </c>
      <c r="B111" t="s">
        <v>162</v>
      </c>
      <c r="C111" s="3" t="s">
        <v>24</v>
      </c>
      <c r="D111" s="3" t="s">
        <v>5</v>
      </c>
      <c r="F111" s="113" t="s">
        <v>197</v>
      </c>
      <c r="G111" s="114">
        <f>C114</f>
        <v>0.0865</v>
      </c>
    </row>
    <row r="112" ht="15.75" spans="1:7">
      <c r="A112" s="3" t="s">
        <v>28</v>
      </c>
      <c r="B112" t="s">
        <v>163</v>
      </c>
      <c r="C112" s="102">
        <v>0</v>
      </c>
      <c r="D112" s="103">
        <f>TRUNC(($D$108*C112),2)</f>
        <v>0</v>
      </c>
      <c r="F112" s="115" t="s">
        <v>198</v>
      </c>
      <c r="G112" s="116">
        <f>TRUNC(SUM(D108,D112,D113),2)</f>
        <v>2925.94</v>
      </c>
    </row>
    <row r="113" ht="15.75" spans="1:7">
      <c r="A113" s="3" t="s">
        <v>31</v>
      </c>
      <c r="B113" t="s">
        <v>45</v>
      </c>
      <c r="C113" s="102">
        <v>0</v>
      </c>
      <c r="D113" s="103">
        <f>TRUNC((D108+D112)*C113,2)</f>
        <v>0</v>
      </c>
      <c r="F113" s="113" t="s">
        <v>199</v>
      </c>
      <c r="G113" s="117">
        <f>(100-8.65)/100</f>
        <v>0.9135</v>
      </c>
    </row>
    <row r="114" ht="15.75" spans="1:7">
      <c r="A114" s="3" t="s">
        <v>34</v>
      </c>
      <c r="B114" t="s">
        <v>164</v>
      </c>
      <c r="C114" s="102">
        <f>SUM(C115:C117)</f>
        <v>0.0865</v>
      </c>
      <c r="D114" s="103">
        <f>SUM(D115:D117)</f>
        <v>277.03</v>
      </c>
      <c r="F114" s="115" t="s">
        <v>196</v>
      </c>
      <c r="G114" s="116">
        <f>TRUNC((G112/G113),2)</f>
        <v>3202.99</v>
      </c>
    </row>
    <row r="115" ht="15.75" spans="1:4">
      <c r="A115" s="3" t="s">
        <v>165</v>
      </c>
      <c r="B115" t="s">
        <v>46</v>
      </c>
      <c r="C115" s="102">
        <v>0.0065</v>
      </c>
      <c r="D115" s="103">
        <f t="shared" ref="D115:D117" si="2">TRUNC(($G$114*C115),2)</f>
        <v>20.81</v>
      </c>
    </row>
    <row r="116" spans="1:4">
      <c r="A116" s="3" t="s">
        <v>166</v>
      </c>
      <c r="B116" t="s">
        <v>48</v>
      </c>
      <c r="C116" s="102">
        <v>0.03</v>
      </c>
      <c r="D116" s="103">
        <f t="shared" si="2"/>
        <v>96.08</v>
      </c>
    </row>
    <row r="117" spans="1:4">
      <c r="A117" s="3" t="s">
        <v>167</v>
      </c>
      <c r="B117" t="s">
        <v>50</v>
      </c>
      <c r="C117" s="102">
        <v>0.05</v>
      </c>
      <c r="D117" s="103">
        <f t="shared" si="2"/>
        <v>160.14</v>
      </c>
    </row>
    <row r="118" spans="1:4">
      <c r="A118" s="3" t="s">
        <v>44</v>
      </c>
      <c r="C118" s="118"/>
      <c r="D118" s="90">
        <f>TRUNC(SUM(D112:D114),2)</f>
        <v>277.03</v>
      </c>
    </row>
    <row r="119" spans="1:4">
      <c r="A119" s="3"/>
      <c r="C119" s="118"/>
      <c r="D119" s="90"/>
    </row>
    <row r="120" spans="1:4">
      <c r="A120" s="85" t="s">
        <v>168</v>
      </c>
      <c r="B120" s="85"/>
      <c r="C120" s="85"/>
      <c r="D120" s="85"/>
    </row>
    <row r="121" spans="1:4">
      <c r="A121" s="3" t="s">
        <v>2</v>
      </c>
      <c r="B121" s="3" t="s">
        <v>169</v>
      </c>
      <c r="C121" s="3" t="s">
        <v>95</v>
      </c>
      <c r="D121" s="3" t="s">
        <v>5</v>
      </c>
    </row>
    <row r="122" spans="1:4">
      <c r="A122" s="3" t="s">
        <v>28</v>
      </c>
      <c r="B122" t="s">
        <v>22</v>
      </c>
      <c r="D122" s="90">
        <f>D17</f>
        <v>1469.02</v>
      </c>
    </row>
    <row r="123" spans="1:4">
      <c r="A123" s="3" t="s">
        <v>31</v>
      </c>
      <c r="B123" t="s">
        <v>47</v>
      </c>
      <c r="D123" s="90">
        <f>D56</f>
        <v>1303.79</v>
      </c>
    </row>
    <row r="124" spans="1:4">
      <c r="A124" s="3" t="s">
        <v>34</v>
      </c>
      <c r="B124" t="s">
        <v>101</v>
      </c>
      <c r="D124" s="90">
        <f>D66</f>
        <v>89.89</v>
      </c>
    </row>
    <row r="125" spans="1:4">
      <c r="A125" s="3" t="s">
        <v>36</v>
      </c>
      <c r="B125" t="s">
        <v>170</v>
      </c>
      <c r="D125" s="90">
        <f>D93</f>
        <v>55.91</v>
      </c>
    </row>
    <row r="126" spans="1:4">
      <c r="A126" s="3" t="s">
        <v>39</v>
      </c>
      <c r="B126" t="s">
        <v>148</v>
      </c>
      <c r="D126" s="90">
        <f>D101</f>
        <v>7.33</v>
      </c>
    </row>
    <row r="127" spans="1:4">
      <c r="A127" t="s">
        <v>171</v>
      </c>
      <c r="D127" s="90">
        <f>TRUNC(SUM(D122:D126),2)</f>
        <v>2925.94</v>
      </c>
    </row>
    <row r="128" spans="1:4">
      <c r="A128" s="3" t="s">
        <v>41</v>
      </c>
      <c r="B128" t="s">
        <v>160</v>
      </c>
      <c r="D128" s="90">
        <f>D118</f>
        <v>277.03</v>
      </c>
    </row>
    <row r="129" spans="1:4">
      <c r="A129" s="119" t="s">
        <v>172</v>
      </c>
      <c r="B129" s="71"/>
      <c r="C129" s="71"/>
      <c r="D129" s="120">
        <f>TRUNC((SUM(D122:D126)+D128),2)</f>
        <v>3202.97</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60" workbookViewId="0">
      <selection activeCell="I74" sqref="I74"/>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6" t="s">
        <v>200</v>
      </c>
      <c r="B2" s="46"/>
      <c r="C2" s="46"/>
      <c r="D2" s="46"/>
      <c r="E2" s="46"/>
      <c r="F2" s="46"/>
    </row>
    <row r="3" ht="60.75" spans="1:6">
      <c r="A3" s="2" t="s">
        <v>201</v>
      </c>
      <c r="B3" s="2" t="s">
        <v>202</v>
      </c>
      <c r="C3" s="2" t="s">
        <v>203</v>
      </c>
      <c r="D3" s="2" t="s">
        <v>204</v>
      </c>
      <c r="E3" s="2" t="s">
        <v>205</v>
      </c>
      <c r="F3" s="2" t="s">
        <v>206</v>
      </c>
    </row>
    <row r="4" ht="135.75" spans="1:6">
      <c r="A4" s="60">
        <v>1</v>
      </c>
      <c r="B4" s="61" t="s">
        <v>207</v>
      </c>
      <c r="C4" s="2" t="s">
        <v>208</v>
      </c>
      <c r="D4" s="62">
        <v>0</v>
      </c>
      <c r="E4" s="63">
        <v>50</v>
      </c>
      <c r="F4" s="5">
        <f>TRUNC(E4*D4,2)</f>
        <v>0</v>
      </c>
    </row>
    <row r="5" ht="51" spans="1:6">
      <c r="A5" s="60">
        <v>2</v>
      </c>
      <c r="B5" s="64" t="s">
        <v>209</v>
      </c>
      <c r="C5" s="2" t="s">
        <v>208</v>
      </c>
      <c r="D5" s="62">
        <v>0</v>
      </c>
      <c r="E5" s="65">
        <v>50</v>
      </c>
      <c r="F5" s="5">
        <f t="shared" ref="F5:F49" si="0">TRUNC(E5*D5,2)</f>
        <v>0</v>
      </c>
    </row>
    <row r="6" ht="51" spans="1:6">
      <c r="A6" s="60">
        <v>3</v>
      </c>
      <c r="B6" s="64" t="s">
        <v>210</v>
      </c>
      <c r="C6" s="2" t="s">
        <v>208</v>
      </c>
      <c r="D6" s="62">
        <v>0</v>
      </c>
      <c r="E6" s="66">
        <v>30</v>
      </c>
      <c r="F6" s="5">
        <f t="shared" si="0"/>
        <v>0</v>
      </c>
    </row>
    <row r="7" ht="76.5" spans="1:6">
      <c r="A7" s="60">
        <v>4</v>
      </c>
      <c r="B7" s="64" t="s">
        <v>211</v>
      </c>
      <c r="C7" s="2" t="s">
        <v>208</v>
      </c>
      <c r="D7" s="62">
        <v>0</v>
      </c>
      <c r="E7" s="65">
        <v>6</v>
      </c>
      <c r="F7" s="5">
        <f t="shared" si="0"/>
        <v>0</v>
      </c>
    </row>
    <row r="8" ht="63.75" spans="1:6">
      <c r="A8" s="60">
        <v>5</v>
      </c>
      <c r="B8" s="64" t="s">
        <v>212</v>
      </c>
      <c r="C8" s="2" t="s">
        <v>208</v>
      </c>
      <c r="D8" s="62">
        <v>0</v>
      </c>
      <c r="E8" s="66">
        <v>4</v>
      </c>
      <c r="F8" s="5">
        <f t="shared" si="0"/>
        <v>0</v>
      </c>
    </row>
    <row r="9" ht="38.25" spans="1:6">
      <c r="A9" s="60">
        <v>6</v>
      </c>
      <c r="B9" s="64" t="s">
        <v>213</v>
      </c>
      <c r="C9" s="2" t="s">
        <v>208</v>
      </c>
      <c r="D9" s="62">
        <v>0</v>
      </c>
      <c r="E9" s="65">
        <v>6</v>
      </c>
      <c r="F9" s="5">
        <f t="shared" si="0"/>
        <v>0</v>
      </c>
    </row>
    <row r="10" ht="38.25" spans="1:6">
      <c r="A10" s="60">
        <v>7</v>
      </c>
      <c r="B10" s="64" t="s">
        <v>214</v>
      </c>
      <c r="C10" s="2" t="s">
        <v>208</v>
      </c>
      <c r="D10" s="62">
        <v>0</v>
      </c>
      <c r="E10" s="66">
        <v>50</v>
      </c>
      <c r="F10" s="5">
        <f t="shared" si="0"/>
        <v>0</v>
      </c>
    </row>
    <row r="11" ht="51" spans="1:6">
      <c r="A11" s="60">
        <v>8</v>
      </c>
      <c r="B11" s="64" t="s">
        <v>215</v>
      </c>
      <c r="C11" s="2" t="s">
        <v>208</v>
      </c>
      <c r="D11" s="62">
        <v>0</v>
      </c>
      <c r="E11" s="65">
        <v>4</v>
      </c>
      <c r="F11" s="5">
        <f t="shared" si="0"/>
        <v>0</v>
      </c>
    </row>
    <row r="12" ht="63.75" spans="1:6">
      <c r="A12" s="60">
        <v>9</v>
      </c>
      <c r="B12" s="64" t="s">
        <v>216</v>
      </c>
      <c r="C12" s="2" t="s">
        <v>208</v>
      </c>
      <c r="D12" s="62">
        <v>0</v>
      </c>
      <c r="E12" s="66">
        <v>4</v>
      </c>
      <c r="F12" s="5">
        <f t="shared" si="0"/>
        <v>0</v>
      </c>
    </row>
    <row r="13" ht="63.75" spans="1:6">
      <c r="A13" s="60">
        <v>10</v>
      </c>
      <c r="B13" s="64" t="s">
        <v>217</v>
      </c>
      <c r="C13" s="2" t="s">
        <v>208</v>
      </c>
      <c r="D13" s="62">
        <v>0</v>
      </c>
      <c r="E13" s="65">
        <v>50</v>
      </c>
      <c r="F13" s="5">
        <f t="shared" si="0"/>
        <v>0</v>
      </c>
    </row>
    <row r="14" ht="51" spans="1:6">
      <c r="A14" s="60">
        <v>11</v>
      </c>
      <c r="B14" s="64" t="s">
        <v>218</v>
      </c>
      <c r="C14" s="2" t="s">
        <v>208</v>
      </c>
      <c r="D14" s="62">
        <v>0</v>
      </c>
      <c r="E14" s="66">
        <v>50</v>
      </c>
      <c r="F14" s="5">
        <f t="shared" si="0"/>
        <v>0</v>
      </c>
    </row>
    <row r="15" ht="76.5" spans="1:6">
      <c r="A15" s="60">
        <v>12</v>
      </c>
      <c r="B15" s="64" t="s">
        <v>219</v>
      </c>
      <c r="C15" s="2" t="s">
        <v>208</v>
      </c>
      <c r="D15" s="62">
        <v>0</v>
      </c>
      <c r="E15" s="65">
        <v>50</v>
      </c>
      <c r="F15" s="5">
        <f t="shared" si="0"/>
        <v>0</v>
      </c>
    </row>
    <row r="16" ht="51" spans="1:6">
      <c r="A16" s="60">
        <v>13</v>
      </c>
      <c r="B16" s="64" t="s">
        <v>220</v>
      </c>
      <c r="C16" s="2" t="s">
        <v>208</v>
      </c>
      <c r="D16" s="62">
        <v>0</v>
      </c>
      <c r="E16" s="66">
        <v>12</v>
      </c>
      <c r="F16" s="5">
        <f t="shared" si="0"/>
        <v>0</v>
      </c>
    </row>
    <row r="17" ht="89.25" spans="1:6">
      <c r="A17" s="60">
        <v>14</v>
      </c>
      <c r="B17" s="64" t="s">
        <v>221</v>
      </c>
      <c r="C17" s="2" t="s">
        <v>208</v>
      </c>
      <c r="D17" s="62">
        <v>0</v>
      </c>
      <c r="E17" s="65">
        <v>36</v>
      </c>
      <c r="F17" s="5">
        <f t="shared" si="0"/>
        <v>0</v>
      </c>
    </row>
    <row r="18" ht="38.25" spans="1:6">
      <c r="A18" s="60">
        <v>15</v>
      </c>
      <c r="B18" s="64" t="s">
        <v>222</v>
      </c>
      <c r="C18" s="2" t="s">
        <v>208</v>
      </c>
      <c r="D18" s="62">
        <v>0</v>
      </c>
      <c r="E18" s="66">
        <v>24</v>
      </c>
      <c r="F18" s="5">
        <f t="shared" si="0"/>
        <v>0</v>
      </c>
    </row>
    <row r="19" ht="25.5" spans="1:6">
      <c r="A19" s="60">
        <v>16</v>
      </c>
      <c r="B19" s="64" t="s">
        <v>223</v>
      </c>
      <c r="C19" s="2" t="s">
        <v>208</v>
      </c>
      <c r="D19" s="62">
        <v>0</v>
      </c>
      <c r="E19" s="65">
        <v>24</v>
      </c>
      <c r="F19" s="5">
        <f t="shared" si="0"/>
        <v>0</v>
      </c>
    </row>
    <row r="20" ht="25.5" spans="1:6">
      <c r="A20" s="60">
        <v>17</v>
      </c>
      <c r="B20" s="64" t="s">
        <v>224</v>
      </c>
      <c r="C20" s="2" t="s">
        <v>208</v>
      </c>
      <c r="D20" s="62">
        <v>0</v>
      </c>
      <c r="E20" s="66">
        <v>12</v>
      </c>
      <c r="F20" s="5">
        <f t="shared" si="0"/>
        <v>0</v>
      </c>
    </row>
    <row r="21" ht="25.5" spans="1:6">
      <c r="A21" s="60">
        <v>18</v>
      </c>
      <c r="B21" s="64" t="s">
        <v>225</v>
      </c>
      <c r="C21" s="2" t="s">
        <v>208</v>
      </c>
      <c r="D21" s="62">
        <v>0</v>
      </c>
      <c r="E21" s="65">
        <v>36</v>
      </c>
      <c r="F21" s="5">
        <f t="shared" si="0"/>
        <v>0</v>
      </c>
    </row>
    <row r="22" ht="63.75" spans="1:6">
      <c r="A22" s="60">
        <v>19</v>
      </c>
      <c r="B22" s="64" t="s">
        <v>226</v>
      </c>
      <c r="C22" s="2" t="s">
        <v>208</v>
      </c>
      <c r="D22" s="62">
        <v>0</v>
      </c>
      <c r="E22" s="66">
        <v>220</v>
      </c>
      <c r="F22" s="5">
        <f t="shared" si="0"/>
        <v>0</v>
      </c>
    </row>
    <row r="23" ht="63.75" spans="1:6">
      <c r="A23" s="60">
        <v>20</v>
      </c>
      <c r="B23" s="64" t="s">
        <v>227</v>
      </c>
      <c r="C23" s="2" t="s">
        <v>208</v>
      </c>
      <c r="D23" s="62">
        <v>0</v>
      </c>
      <c r="E23" s="65">
        <v>200</v>
      </c>
      <c r="F23" s="5">
        <f t="shared" si="0"/>
        <v>0</v>
      </c>
    </row>
    <row r="24" ht="51" spans="1:6">
      <c r="A24" s="60">
        <v>21</v>
      </c>
      <c r="B24" s="64" t="s">
        <v>228</v>
      </c>
      <c r="C24" s="2" t="s">
        <v>208</v>
      </c>
      <c r="D24" s="62">
        <v>0</v>
      </c>
      <c r="E24" s="66">
        <v>12</v>
      </c>
      <c r="F24" s="5">
        <f t="shared" si="0"/>
        <v>0</v>
      </c>
    </row>
    <row r="25" ht="38.25" spans="1:6">
      <c r="A25" s="60">
        <v>22</v>
      </c>
      <c r="B25" s="64" t="s">
        <v>229</v>
      </c>
      <c r="C25" s="2" t="s">
        <v>208</v>
      </c>
      <c r="D25" s="62">
        <v>0</v>
      </c>
      <c r="E25" s="65">
        <v>12</v>
      </c>
      <c r="F25" s="5">
        <f t="shared" si="0"/>
        <v>0</v>
      </c>
    </row>
    <row r="26" ht="38.25" spans="1:6">
      <c r="A26" s="60">
        <v>23</v>
      </c>
      <c r="B26" s="64" t="s">
        <v>230</v>
      </c>
      <c r="C26" s="2" t="s">
        <v>208</v>
      </c>
      <c r="D26" s="62">
        <v>0</v>
      </c>
      <c r="E26" s="66">
        <v>60</v>
      </c>
      <c r="F26" s="5">
        <f t="shared" si="0"/>
        <v>0</v>
      </c>
    </row>
    <row r="27" ht="51" spans="1:6">
      <c r="A27" s="60">
        <v>24</v>
      </c>
      <c r="B27" s="64" t="s">
        <v>231</v>
      </c>
      <c r="C27" s="2" t="s">
        <v>208</v>
      </c>
      <c r="D27" s="62">
        <v>0</v>
      </c>
      <c r="E27" s="65">
        <v>24</v>
      </c>
      <c r="F27" s="5">
        <f t="shared" si="0"/>
        <v>0</v>
      </c>
    </row>
    <row r="28" ht="63.75" spans="1:6">
      <c r="A28" s="60">
        <v>25</v>
      </c>
      <c r="B28" s="64" t="s">
        <v>232</v>
      </c>
      <c r="C28" s="2" t="s">
        <v>208</v>
      </c>
      <c r="D28" s="62">
        <v>0</v>
      </c>
      <c r="E28" s="66">
        <v>4</v>
      </c>
      <c r="F28" s="5">
        <f t="shared" ref="F28:F67" si="1">TRUNC(E28*D28,2)</f>
        <v>0</v>
      </c>
    </row>
    <row r="29" ht="38.25" spans="1:6">
      <c r="A29" s="60">
        <v>26</v>
      </c>
      <c r="B29" s="64" t="s">
        <v>233</v>
      </c>
      <c r="C29" s="2" t="s">
        <v>208</v>
      </c>
      <c r="D29" s="62">
        <v>0</v>
      </c>
      <c r="E29" s="65">
        <v>24</v>
      </c>
      <c r="F29" s="5">
        <f t="shared" si="1"/>
        <v>0</v>
      </c>
    </row>
    <row r="30" ht="38.25" spans="1:6">
      <c r="A30" s="60">
        <v>27</v>
      </c>
      <c r="B30" s="64" t="s">
        <v>234</v>
      </c>
      <c r="C30" s="2" t="s">
        <v>208</v>
      </c>
      <c r="D30" s="62">
        <v>0</v>
      </c>
      <c r="E30" s="66">
        <v>12</v>
      </c>
      <c r="F30" s="5">
        <f t="shared" si="1"/>
        <v>0</v>
      </c>
    </row>
    <row r="31" ht="38.25" spans="1:6">
      <c r="A31" s="60">
        <v>28</v>
      </c>
      <c r="B31" s="64" t="s">
        <v>235</v>
      </c>
      <c r="C31" s="2" t="s">
        <v>208</v>
      </c>
      <c r="D31" s="62">
        <v>0</v>
      </c>
      <c r="E31" s="65">
        <v>10</v>
      </c>
      <c r="F31" s="5">
        <f t="shared" si="1"/>
        <v>0</v>
      </c>
    </row>
    <row r="32" ht="38.25" spans="1:6">
      <c r="A32" s="60">
        <v>29</v>
      </c>
      <c r="B32" s="64" t="s">
        <v>236</v>
      </c>
      <c r="C32" s="2" t="s">
        <v>208</v>
      </c>
      <c r="D32" s="62">
        <v>0</v>
      </c>
      <c r="E32" s="66">
        <v>10</v>
      </c>
      <c r="F32" s="5">
        <f t="shared" si="1"/>
        <v>0</v>
      </c>
    </row>
    <row r="33" ht="38.25" spans="1:6">
      <c r="A33" s="60">
        <v>30</v>
      </c>
      <c r="B33" s="64" t="s">
        <v>237</v>
      </c>
      <c r="C33" s="2" t="s">
        <v>208</v>
      </c>
      <c r="D33" s="62">
        <v>0</v>
      </c>
      <c r="E33" s="65">
        <v>10</v>
      </c>
      <c r="F33" s="5">
        <f t="shared" si="1"/>
        <v>0</v>
      </c>
    </row>
    <row r="34" ht="38.25" spans="1:6">
      <c r="A34" s="60">
        <v>31</v>
      </c>
      <c r="B34" s="64" t="s">
        <v>238</v>
      </c>
      <c r="C34" s="2" t="s">
        <v>208</v>
      </c>
      <c r="D34" s="62">
        <v>0</v>
      </c>
      <c r="E34" s="66">
        <v>10</v>
      </c>
      <c r="F34" s="5">
        <f t="shared" si="1"/>
        <v>0</v>
      </c>
    </row>
    <row r="35" ht="38.25" spans="1:6">
      <c r="A35" s="60">
        <v>32</v>
      </c>
      <c r="B35" s="64" t="s">
        <v>239</v>
      </c>
      <c r="C35" s="2" t="s">
        <v>208</v>
      </c>
      <c r="D35" s="62">
        <v>0</v>
      </c>
      <c r="E35" s="65">
        <v>3</v>
      </c>
      <c r="F35" s="5">
        <f t="shared" si="1"/>
        <v>0</v>
      </c>
    </row>
    <row r="36" ht="38.25" spans="1:6">
      <c r="A36" s="60">
        <v>33</v>
      </c>
      <c r="B36" s="64" t="s">
        <v>240</v>
      </c>
      <c r="C36" s="2" t="s">
        <v>208</v>
      </c>
      <c r="D36" s="62">
        <v>0</v>
      </c>
      <c r="E36" s="66">
        <v>6</v>
      </c>
      <c r="F36" s="5">
        <f t="shared" si="1"/>
        <v>0</v>
      </c>
    </row>
    <row r="37" ht="51" spans="1:6">
      <c r="A37" s="60">
        <v>34</v>
      </c>
      <c r="B37" s="64" t="s">
        <v>241</v>
      </c>
      <c r="C37" s="2" t="s">
        <v>208</v>
      </c>
      <c r="D37" s="62">
        <v>0</v>
      </c>
      <c r="E37" s="65">
        <v>6</v>
      </c>
      <c r="F37" s="5">
        <f t="shared" si="1"/>
        <v>0</v>
      </c>
    </row>
    <row r="38" ht="38.25" spans="1:6">
      <c r="A38" s="60">
        <v>35</v>
      </c>
      <c r="B38" s="64" t="s">
        <v>242</v>
      </c>
      <c r="C38" s="2" t="s">
        <v>208</v>
      </c>
      <c r="D38" s="62">
        <v>0</v>
      </c>
      <c r="E38" s="66">
        <v>6</v>
      </c>
      <c r="F38" s="5">
        <f t="shared" si="1"/>
        <v>0</v>
      </c>
    </row>
    <row r="39" ht="25.5" spans="1:6">
      <c r="A39" s="60">
        <v>36</v>
      </c>
      <c r="B39" s="64" t="s">
        <v>243</v>
      </c>
      <c r="C39" s="2" t="s">
        <v>208</v>
      </c>
      <c r="D39" s="62">
        <v>0</v>
      </c>
      <c r="E39" s="65">
        <v>12</v>
      </c>
      <c r="F39" s="5">
        <f t="shared" si="1"/>
        <v>0</v>
      </c>
    </row>
    <row r="40" ht="25.5" spans="1:6">
      <c r="A40" s="60">
        <v>37</v>
      </c>
      <c r="B40" s="64" t="s">
        <v>244</v>
      </c>
      <c r="C40" s="2" t="s">
        <v>208</v>
      </c>
      <c r="D40" s="62">
        <v>0</v>
      </c>
      <c r="E40" s="66">
        <v>6</v>
      </c>
      <c r="F40" s="5">
        <f t="shared" si="1"/>
        <v>0</v>
      </c>
    </row>
    <row r="41" ht="56" customHeight="1" spans="1:6">
      <c r="A41" s="60">
        <v>38</v>
      </c>
      <c r="B41" s="64" t="s">
        <v>245</v>
      </c>
      <c r="C41" s="2" t="s">
        <v>208</v>
      </c>
      <c r="D41" s="62">
        <v>0</v>
      </c>
      <c r="E41" s="65">
        <v>12</v>
      </c>
      <c r="F41" s="5">
        <f t="shared" si="1"/>
        <v>0</v>
      </c>
    </row>
    <row r="42" ht="38.25" spans="1:6">
      <c r="A42" s="60">
        <v>39</v>
      </c>
      <c r="B42" s="64" t="s">
        <v>246</v>
      </c>
      <c r="C42" s="2" t="s">
        <v>208</v>
      </c>
      <c r="D42" s="62">
        <v>0</v>
      </c>
      <c r="E42" s="66">
        <v>2</v>
      </c>
      <c r="F42" s="5">
        <f t="shared" si="1"/>
        <v>0</v>
      </c>
    </row>
    <row r="43" ht="25.5" spans="1:6">
      <c r="A43" s="60">
        <v>40</v>
      </c>
      <c r="B43" s="64" t="s">
        <v>247</v>
      </c>
      <c r="C43" s="2" t="s">
        <v>208</v>
      </c>
      <c r="D43" s="62">
        <v>0</v>
      </c>
      <c r="E43" s="65">
        <v>2</v>
      </c>
      <c r="F43" s="5">
        <f t="shared" si="1"/>
        <v>0</v>
      </c>
    </row>
    <row r="44" ht="63.75" spans="1:6">
      <c r="A44" s="60">
        <v>41</v>
      </c>
      <c r="B44" s="64" t="s">
        <v>248</v>
      </c>
      <c r="C44" s="2" t="s">
        <v>208</v>
      </c>
      <c r="D44" s="62">
        <v>0</v>
      </c>
      <c r="E44" s="66">
        <v>1</v>
      </c>
      <c r="F44" s="5">
        <f t="shared" si="1"/>
        <v>0</v>
      </c>
    </row>
    <row r="45" ht="38.25" spans="1:6">
      <c r="A45" s="60">
        <v>42</v>
      </c>
      <c r="B45" s="64" t="s">
        <v>249</v>
      </c>
      <c r="C45" s="2" t="s">
        <v>208</v>
      </c>
      <c r="D45" s="62">
        <v>0</v>
      </c>
      <c r="E45" s="65">
        <v>6</v>
      </c>
      <c r="F45" s="5">
        <f t="shared" si="1"/>
        <v>0</v>
      </c>
    </row>
    <row r="46" ht="38.25" spans="1:6">
      <c r="A46" s="60">
        <v>43</v>
      </c>
      <c r="B46" s="64" t="s">
        <v>250</v>
      </c>
      <c r="C46" s="2" t="s">
        <v>208</v>
      </c>
      <c r="D46" s="62">
        <v>0</v>
      </c>
      <c r="E46" s="66">
        <v>6</v>
      </c>
      <c r="F46" s="5">
        <f t="shared" si="1"/>
        <v>0</v>
      </c>
    </row>
    <row r="47" ht="25.5" spans="1:6">
      <c r="A47" s="60">
        <v>44</v>
      </c>
      <c r="B47" s="64" t="s">
        <v>251</v>
      </c>
      <c r="C47" s="2" t="s">
        <v>208</v>
      </c>
      <c r="D47" s="62">
        <v>0</v>
      </c>
      <c r="E47" s="65">
        <v>6</v>
      </c>
      <c r="F47" s="5">
        <f t="shared" si="1"/>
        <v>0</v>
      </c>
    </row>
    <row r="48" ht="51" spans="1:6">
      <c r="A48" s="60">
        <v>45</v>
      </c>
      <c r="B48" s="64" t="s">
        <v>252</v>
      </c>
      <c r="C48" s="2" t="s">
        <v>208</v>
      </c>
      <c r="D48" s="62">
        <v>0</v>
      </c>
      <c r="E48" s="66">
        <v>2</v>
      </c>
      <c r="F48" s="5">
        <f t="shared" si="1"/>
        <v>0</v>
      </c>
    </row>
    <row r="49" ht="51" spans="1:6">
      <c r="A49" s="60">
        <v>46</v>
      </c>
      <c r="B49" s="64" t="s">
        <v>253</v>
      </c>
      <c r="C49" s="2" t="s">
        <v>208</v>
      </c>
      <c r="D49" s="62">
        <v>0</v>
      </c>
      <c r="E49" s="65">
        <v>4</v>
      </c>
      <c r="F49" s="5">
        <f t="shared" si="1"/>
        <v>0</v>
      </c>
    </row>
    <row r="50" ht="38.25" spans="1:6">
      <c r="A50" s="60">
        <v>47</v>
      </c>
      <c r="B50" s="64" t="s">
        <v>254</v>
      </c>
      <c r="C50" s="2" t="s">
        <v>208</v>
      </c>
      <c r="D50" s="62">
        <v>0</v>
      </c>
      <c r="E50" s="66">
        <v>2</v>
      </c>
      <c r="F50" s="5">
        <f t="shared" si="1"/>
        <v>0</v>
      </c>
    </row>
    <row r="51" ht="38.25" spans="1:6">
      <c r="A51" s="60">
        <v>48</v>
      </c>
      <c r="B51" s="64" t="s">
        <v>255</v>
      </c>
      <c r="C51" s="2" t="s">
        <v>208</v>
      </c>
      <c r="D51" s="62">
        <v>0</v>
      </c>
      <c r="E51" s="65">
        <v>3</v>
      </c>
      <c r="F51" s="5">
        <f t="shared" si="1"/>
        <v>0</v>
      </c>
    </row>
    <row r="52" ht="51" spans="1:6">
      <c r="A52" s="60">
        <v>49</v>
      </c>
      <c r="B52" s="64" t="s">
        <v>256</v>
      </c>
      <c r="C52" s="2" t="s">
        <v>208</v>
      </c>
      <c r="D52" s="62">
        <v>0</v>
      </c>
      <c r="E52" s="66">
        <v>3</v>
      </c>
      <c r="F52" s="5">
        <f t="shared" si="1"/>
        <v>0</v>
      </c>
    </row>
    <row r="53" ht="38.25" spans="1:6">
      <c r="A53" s="60">
        <v>50</v>
      </c>
      <c r="B53" s="64" t="s">
        <v>257</v>
      </c>
      <c r="C53" s="2" t="s">
        <v>208</v>
      </c>
      <c r="D53" s="62">
        <v>0</v>
      </c>
      <c r="E53" s="65">
        <v>3</v>
      </c>
      <c r="F53" s="5">
        <f t="shared" si="1"/>
        <v>0</v>
      </c>
    </row>
    <row r="54" ht="51" spans="1:6">
      <c r="A54" s="60">
        <v>51</v>
      </c>
      <c r="B54" s="64" t="s">
        <v>258</v>
      </c>
      <c r="C54" s="2" t="s">
        <v>208</v>
      </c>
      <c r="D54" s="62">
        <v>0</v>
      </c>
      <c r="E54" s="66">
        <v>2</v>
      </c>
      <c r="F54" s="5">
        <f t="shared" si="1"/>
        <v>0</v>
      </c>
    </row>
    <row r="55" ht="51" spans="1:6">
      <c r="A55" s="60">
        <v>52</v>
      </c>
      <c r="B55" s="64" t="s">
        <v>259</v>
      </c>
      <c r="C55" s="2" t="s">
        <v>208</v>
      </c>
      <c r="D55" s="62">
        <v>0</v>
      </c>
      <c r="E55" s="65">
        <v>2</v>
      </c>
      <c r="F55" s="5">
        <f t="shared" si="1"/>
        <v>0</v>
      </c>
    </row>
    <row r="56" ht="51" spans="1:6">
      <c r="A56" s="60">
        <v>53</v>
      </c>
      <c r="B56" s="64" t="s">
        <v>260</v>
      </c>
      <c r="C56" s="2" t="s">
        <v>208</v>
      </c>
      <c r="D56" s="62">
        <v>0</v>
      </c>
      <c r="E56" s="66">
        <v>2</v>
      </c>
      <c r="F56" s="5">
        <f t="shared" si="1"/>
        <v>0</v>
      </c>
    </row>
    <row r="57" ht="38.25" spans="1:6">
      <c r="A57" s="60">
        <v>54</v>
      </c>
      <c r="B57" s="64" t="s">
        <v>261</v>
      </c>
      <c r="C57" s="2" t="s">
        <v>208</v>
      </c>
      <c r="D57" s="62">
        <v>0</v>
      </c>
      <c r="E57" s="65">
        <v>12</v>
      </c>
      <c r="F57" s="5">
        <f t="shared" si="1"/>
        <v>0</v>
      </c>
    </row>
    <row r="58" ht="51" spans="1:6">
      <c r="A58" s="60">
        <v>55</v>
      </c>
      <c r="B58" s="64" t="s">
        <v>262</v>
      </c>
      <c r="C58" s="2" t="s">
        <v>208</v>
      </c>
      <c r="D58" s="62">
        <v>0</v>
      </c>
      <c r="E58" s="66">
        <v>4</v>
      </c>
      <c r="F58" s="5">
        <f t="shared" si="1"/>
        <v>0</v>
      </c>
    </row>
    <row r="59" ht="25.5" spans="1:6">
      <c r="A59" s="60">
        <v>56</v>
      </c>
      <c r="B59" s="64" t="s">
        <v>263</v>
      </c>
      <c r="C59" s="2" t="s">
        <v>208</v>
      </c>
      <c r="D59" s="62">
        <v>0</v>
      </c>
      <c r="E59" s="65">
        <v>6</v>
      </c>
      <c r="F59" s="5">
        <f t="shared" si="1"/>
        <v>0</v>
      </c>
    </row>
    <row r="60" ht="25.5" spans="1:6">
      <c r="A60" s="60">
        <v>57</v>
      </c>
      <c r="B60" s="64" t="s">
        <v>264</v>
      </c>
      <c r="C60" s="2" t="s">
        <v>208</v>
      </c>
      <c r="D60" s="62">
        <v>0</v>
      </c>
      <c r="E60" s="66">
        <v>10</v>
      </c>
      <c r="F60" s="5">
        <f t="shared" si="1"/>
        <v>0</v>
      </c>
    </row>
    <row r="61" ht="25.5" spans="1:6">
      <c r="A61" s="60">
        <v>58</v>
      </c>
      <c r="B61" s="64" t="s">
        <v>265</v>
      </c>
      <c r="C61" s="2" t="s">
        <v>208</v>
      </c>
      <c r="D61" s="62">
        <v>0</v>
      </c>
      <c r="E61" s="65">
        <v>12</v>
      </c>
      <c r="F61" s="5">
        <f t="shared" si="1"/>
        <v>0</v>
      </c>
    </row>
    <row r="62" ht="25.5" spans="1:6">
      <c r="A62" s="60">
        <v>59</v>
      </c>
      <c r="B62" s="64" t="s">
        <v>266</v>
      </c>
      <c r="C62" s="2" t="s">
        <v>208</v>
      </c>
      <c r="D62" s="62">
        <v>0</v>
      </c>
      <c r="E62" s="66">
        <v>6</v>
      </c>
      <c r="F62" s="5">
        <f t="shared" si="1"/>
        <v>0</v>
      </c>
    </row>
    <row r="63" ht="38.25" spans="1:6">
      <c r="A63" s="60">
        <v>60</v>
      </c>
      <c r="B63" s="64" t="s">
        <v>267</v>
      </c>
      <c r="C63" s="2" t="s">
        <v>208</v>
      </c>
      <c r="D63" s="62">
        <v>0</v>
      </c>
      <c r="E63" s="65">
        <v>6</v>
      </c>
      <c r="F63" s="5">
        <f t="shared" si="1"/>
        <v>0</v>
      </c>
    </row>
    <row r="64" ht="51" spans="1:6">
      <c r="A64" s="60">
        <v>61</v>
      </c>
      <c r="B64" s="64" t="s">
        <v>268</v>
      </c>
      <c r="C64" s="2" t="s">
        <v>208</v>
      </c>
      <c r="D64" s="62">
        <v>0</v>
      </c>
      <c r="E64" s="66">
        <v>1</v>
      </c>
      <c r="F64" s="5">
        <f t="shared" si="1"/>
        <v>0</v>
      </c>
    </row>
    <row r="65" ht="51" spans="1:6">
      <c r="A65" s="60">
        <v>62</v>
      </c>
      <c r="B65" s="64" t="s">
        <v>269</v>
      </c>
      <c r="C65" s="2" t="s">
        <v>208</v>
      </c>
      <c r="D65" s="62">
        <v>0</v>
      </c>
      <c r="E65" s="65">
        <v>1</v>
      </c>
      <c r="F65" s="5">
        <f t="shared" si="1"/>
        <v>0</v>
      </c>
    </row>
    <row r="66" ht="51" spans="1:6">
      <c r="A66" s="60">
        <v>63</v>
      </c>
      <c r="B66" s="64" t="s">
        <v>270</v>
      </c>
      <c r="C66" s="2" t="s">
        <v>208</v>
      </c>
      <c r="D66" s="62">
        <v>0</v>
      </c>
      <c r="E66" s="66">
        <v>16</v>
      </c>
      <c r="F66" s="5">
        <f t="shared" si="1"/>
        <v>0</v>
      </c>
    </row>
    <row r="67" ht="51.75" spans="1:6">
      <c r="A67" s="60">
        <v>64</v>
      </c>
      <c r="B67" s="64" t="s">
        <v>271</v>
      </c>
      <c r="C67" s="2" t="s">
        <v>208</v>
      </c>
      <c r="D67" s="62">
        <v>0</v>
      </c>
      <c r="E67" s="65">
        <v>16</v>
      </c>
      <c r="F67" s="5">
        <f t="shared" si="1"/>
        <v>0</v>
      </c>
    </row>
    <row r="68" ht="15.75" spans="1:6">
      <c r="A68" s="67" t="s">
        <v>44</v>
      </c>
      <c r="B68" s="67"/>
      <c r="C68" s="67"/>
      <c r="D68" s="67"/>
      <c r="E68" s="67"/>
      <c r="F68" s="68">
        <f>TRUNC(SUM(F4:F67),2)</f>
        <v>0</v>
      </c>
    </row>
    <row r="69" spans="1:6">
      <c r="A69" s="69"/>
      <c r="B69" s="70" t="s">
        <v>272</v>
      </c>
      <c r="C69" s="71"/>
      <c r="D69" s="71"/>
      <c r="E69" s="71"/>
      <c r="F69" s="72">
        <f>TRUNC(F68/'ASG com Insalubridade (40%)'!G7,2)</f>
        <v>0</v>
      </c>
    </row>
    <row r="70" spans="1:6">
      <c r="A70" s="73"/>
      <c r="B70" s="74" t="s">
        <v>273</v>
      </c>
      <c r="C70" s="75"/>
      <c r="D70" s="71"/>
      <c r="E70" s="71"/>
      <c r="F70" s="76">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workbookViewId="0">
      <selection activeCell="L27" sqref="L27"/>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6" t="s">
        <v>274</v>
      </c>
      <c r="B1" s="46"/>
      <c r="C1" s="46"/>
      <c r="D1" s="46"/>
      <c r="E1" s="46"/>
      <c r="F1" s="46"/>
    </row>
    <row r="2" ht="60.75" spans="1:6">
      <c r="A2" s="24" t="s">
        <v>201</v>
      </c>
      <c r="B2" s="24" t="s">
        <v>202</v>
      </c>
      <c r="C2" s="24" t="s">
        <v>203</v>
      </c>
      <c r="D2" s="24" t="s">
        <v>275</v>
      </c>
      <c r="E2" s="24" t="s">
        <v>205</v>
      </c>
      <c r="F2" s="24" t="s">
        <v>206</v>
      </c>
    </row>
    <row r="3" ht="75.75" spans="1:6">
      <c r="A3" s="26">
        <v>1</v>
      </c>
      <c r="B3" s="47" t="s">
        <v>276</v>
      </c>
      <c r="C3" s="28" t="s">
        <v>208</v>
      </c>
      <c r="D3" s="29">
        <v>0</v>
      </c>
      <c r="E3" s="28">
        <v>4</v>
      </c>
      <c r="F3" s="30">
        <f t="shared" ref="F3:F22" si="0">TRUNC(E3*D3,2)</f>
        <v>0</v>
      </c>
    </row>
    <row r="4" ht="75.75" spans="1:6">
      <c r="A4" s="31">
        <v>2</v>
      </c>
      <c r="B4" s="48" t="s">
        <v>277</v>
      </c>
      <c r="C4" s="33" t="s">
        <v>208</v>
      </c>
      <c r="D4" s="34">
        <v>0</v>
      </c>
      <c r="E4" s="33">
        <v>4</v>
      </c>
      <c r="F4" s="35">
        <f t="shared" si="0"/>
        <v>0</v>
      </c>
    </row>
    <row r="5" ht="120.75" spans="1:6">
      <c r="A5" s="26">
        <v>3</v>
      </c>
      <c r="B5" s="47" t="s">
        <v>278</v>
      </c>
      <c r="C5" s="28" t="s">
        <v>208</v>
      </c>
      <c r="D5" s="29">
        <v>0</v>
      </c>
      <c r="E5" s="28">
        <v>2</v>
      </c>
      <c r="F5" s="30">
        <f t="shared" si="0"/>
        <v>0</v>
      </c>
    </row>
    <row r="6" ht="75.75" spans="1:6">
      <c r="A6" s="31">
        <v>4</v>
      </c>
      <c r="B6" s="48" t="s">
        <v>279</v>
      </c>
      <c r="C6" s="33" t="s">
        <v>208</v>
      </c>
      <c r="D6" s="34">
        <v>0</v>
      </c>
      <c r="E6" s="33">
        <v>2</v>
      </c>
      <c r="F6" s="35">
        <f t="shared" si="0"/>
        <v>0</v>
      </c>
    </row>
    <row r="7" ht="120.75" spans="1:6">
      <c r="A7" s="26">
        <v>5</v>
      </c>
      <c r="B7" s="47" t="s">
        <v>280</v>
      </c>
      <c r="C7" s="28" t="s">
        <v>208</v>
      </c>
      <c r="D7" s="29">
        <v>0</v>
      </c>
      <c r="E7" s="28">
        <v>1</v>
      </c>
      <c r="F7" s="30">
        <f t="shared" si="0"/>
        <v>0</v>
      </c>
    </row>
    <row r="8" ht="60.75" spans="1:6">
      <c r="A8" s="31">
        <v>6</v>
      </c>
      <c r="B8" s="48" t="s">
        <v>281</v>
      </c>
      <c r="C8" s="33" t="s">
        <v>208</v>
      </c>
      <c r="D8" s="34">
        <v>0</v>
      </c>
      <c r="E8" s="33">
        <v>4</v>
      </c>
      <c r="F8" s="35">
        <f t="shared" si="0"/>
        <v>0</v>
      </c>
    </row>
    <row r="9" ht="60.75" spans="1:6">
      <c r="A9" s="26">
        <v>7</v>
      </c>
      <c r="B9" s="47" t="s">
        <v>282</v>
      </c>
      <c r="C9" s="28" t="s">
        <v>208</v>
      </c>
      <c r="D9" s="29">
        <v>0</v>
      </c>
      <c r="E9" s="28">
        <v>1</v>
      </c>
      <c r="F9" s="30">
        <f t="shared" si="0"/>
        <v>0</v>
      </c>
    </row>
    <row r="10" ht="75.75" spans="1:6">
      <c r="A10" s="31">
        <v>8</v>
      </c>
      <c r="B10" s="48" t="s">
        <v>283</v>
      </c>
      <c r="C10" s="33" t="s">
        <v>208</v>
      </c>
      <c r="D10" s="34">
        <v>0</v>
      </c>
      <c r="E10" s="33">
        <v>2</v>
      </c>
      <c r="F10" s="35">
        <f t="shared" si="0"/>
        <v>0</v>
      </c>
    </row>
    <row r="11" ht="30.75" spans="1:6">
      <c r="A11" s="26">
        <v>9</v>
      </c>
      <c r="B11" s="47" t="s">
        <v>284</v>
      </c>
      <c r="C11" s="28" t="s">
        <v>208</v>
      </c>
      <c r="D11" s="29">
        <v>0</v>
      </c>
      <c r="E11" s="28">
        <v>4</v>
      </c>
      <c r="F11" s="30">
        <f t="shared" si="0"/>
        <v>0</v>
      </c>
    </row>
    <row r="12" ht="135.75" spans="1:6">
      <c r="A12" s="31">
        <v>10</v>
      </c>
      <c r="B12" s="48" t="s">
        <v>285</v>
      </c>
      <c r="C12" s="33" t="s">
        <v>208</v>
      </c>
      <c r="D12" s="34">
        <v>0</v>
      </c>
      <c r="E12" s="33">
        <v>4</v>
      </c>
      <c r="F12" s="35">
        <f t="shared" si="0"/>
        <v>0</v>
      </c>
    </row>
    <row r="13" ht="46.5" spans="1:6">
      <c r="A13" s="26">
        <v>11</v>
      </c>
      <c r="B13" s="47" t="s">
        <v>286</v>
      </c>
      <c r="C13" s="28" t="s">
        <v>208</v>
      </c>
      <c r="D13" s="29">
        <v>0</v>
      </c>
      <c r="E13" s="28">
        <v>2</v>
      </c>
      <c r="F13" s="30">
        <f t="shared" si="0"/>
        <v>0</v>
      </c>
    </row>
    <row r="14" ht="15.75" spans="1:6">
      <c r="A14" s="49" t="s">
        <v>44</v>
      </c>
      <c r="B14" s="50"/>
      <c r="C14" s="50"/>
      <c r="D14" s="50"/>
      <c r="E14" s="50"/>
      <c r="F14" s="51">
        <f>TRUNC(SUM(F3:F13),2)</f>
        <v>0</v>
      </c>
    </row>
    <row r="15" spans="1:6">
      <c r="A15" s="52"/>
      <c r="B15" s="53" t="s">
        <v>287</v>
      </c>
      <c r="C15" s="54"/>
      <c r="D15" s="54"/>
      <c r="E15" s="54"/>
      <c r="F15" s="55">
        <f>TRUNC(F14/12,2)</f>
        <v>0</v>
      </c>
    </row>
    <row r="18" spans="1:6">
      <c r="A18" s="46" t="s">
        <v>288</v>
      </c>
      <c r="B18" s="46"/>
      <c r="C18" s="46"/>
      <c r="D18" s="46"/>
      <c r="E18" s="46"/>
      <c r="F18" s="46"/>
    </row>
    <row r="19" ht="60.75" spans="1:6">
      <c r="A19" s="24" t="s">
        <v>201</v>
      </c>
      <c r="B19" s="24" t="s">
        <v>202</v>
      </c>
      <c r="C19" s="24" t="s">
        <v>203</v>
      </c>
      <c r="D19" s="24" t="s">
        <v>275</v>
      </c>
      <c r="E19" s="24" t="s">
        <v>205</v>
      </c>
      <c r="F19" s="24" t="s">
        <v>206</v>
      </c>
    </row>
    <row r="20" ht="46.5" spans="1:6">
      <c r="A20" s="26">
        <v>1</v>
      </c>
      <c r="B20" s="27" t="s">
        <v>289</v>
      </c>
      <c r="C20" s="56" t="s">
        <v>208</v>
      </c>
      <c r="D20" s="29">
        <v>0</v>
      </c>
      <c r="E20" s="26">
        <v>1</v>
      </c>
      <c r="F20" s="57">
        <f t="shared" ref="F20:F29" si="1">TRUNC(E20*D20,2)</f>
        <v>0</v>
      </c>
    </row>
    <row r="21" customHeight="1" spans="1:6">
      <c r="A21" s="31">
        <v>2</v>
      </c>
      <c r="B21" s="32" t="s">
        <v>290</v>
      </c>
      <c r="C21" s="58" t="s">
        <v>208</v>
      </c>
      <c r="D21" s="29">
        <v>0</v>
      </c>
      <c r="E21" s="31">
        <v>1</v>
      </c>
      <c r="F21" s="59">
        <f t="shared" si="1"/>
        <v>0</v>
      </c>
    </row>
    <row r="22" ht="31.5" spans="1:6">
      <c r="A22" s="26">
        <v>3</v>
      </c>
      <c r="B22" s="27" t="s">
        <v>291</v>
      </c>
      <c r="C22" s="56" t="s">
        <v>292</v>
      </c>
      <c r="D22" s="29">
        <v>0</v>
      </c>
      <c r="E22" s="26">
        <v>1</v>
      </c>
      <c r="F22" s="57">
        <f t="shared" si="1"/>
        <v>0</v>
      </c>
    </row>
    <row r="23" ht="31.5" spans="1:6">
      <c r="A23" s="31">
        <v>4</v>
      </c>
      <c r="B23" s="32" t="s">
        <v>293</v>
      </c>
      <c r="C23" s="58" t="s">
        <v>294</v>
      </c>
      <c r="D23" s="29">
        <v>0</v>
      </c>
      <c r="E23" s="31">
        <v>1</v>
      </c>
      <c r="F23" s="59">
        <f t="shared" si="1"/>
        <v>0</v>
      </c>
    </row>
    <row r="24" ht="16.5" spans="1:6">
      <c r="A24" s="26">
        <v>5</v>
      </c>
      <c r="B24" s="27" t="s">
        <v>295</v>
      </c>
      <c r="C24" s="56" t="s">
        <v>296</v>
      </c>
      <c r="D24" s="29">
        <v>0</v>
      </c>
      <c r="E24" s="26">
        <v>10</v>
      </c>
      <c r="F24" s="57">
        <f t="shared" si="1"/>
        <v>0</v>
      </c>
    </row>
    <row r="25" ht="16.5" spans="1:6">
      <c r="A25" s="31">
        <v>6</v>
      </c>
      <c r="B25" s="32" t="s">
        <v>297</v>
      </c>
      <c r="C25" s="58" t="s">
        <v>298</v>
      </c>
      <c r="D25" s="29">
        <v>0</v>
      </c>
      <c r="E25" s="31">
        <v>2</v>
      </c>
      <c r="F25" s="59">
        <f t="shared" si="1"/>
        <v>0</v>
      </c>
    </row>
    <row r="26" ht="16.5" spans="1:6">
      <c r="A26" s="26">
        <v>7</v>
      </c>
      <c r="B26" s="27" t="s">
        <v>299</v>
      </c>
      <c r="C26" s="56" t="s">
        <v>298</v>
      </c>
      <c r="D26" s="29">
        <v>0</v>
      </c>
      <c r="E26" s="26">
        <v>5</v>
      </c>
      <c r="F26" s="57">
        <f t="shared" si="1"/>
        <v>0</v>
      </c>
    </row>
    <row r="27" ht="16.5" spans="1:6">
      <c r="A27" s="31">
        <v>8</v>
      </c>
      <c r="B27" s="32" t="s">
        <v>300</v>
      </c>
      <c r="C27" s="58" t="s">
        <v>301</v>
      </c>
      <c r="D27" s="29">
        <v>0</v>
      </c>
      <c r="E27" s="31">
        <v>2</v>
      </c>
      <c r="F27" s="59">
        <f t="shared" si="1"/>
        <v>0</v>
      </c>
    </row>
    <row r="28" ht="16.5" spans="1:6">
      <c r="A28" s="26">
        <v>9</v>
      </c>
      <c r="B28" s="27" t="s">
        <v>302</v>
      </c>
      <c r="C28" s="56" t="s">
        <v>301</v>
      </c>
      <c r="D28" s="29">
        <v>0</v>
      </c>
      <c r="E28" s="26">
        <v>2</v>
      </c>
      <c r="F28" s="57">
        <f t="shared" si="1"/>
        <v>0</v>
      </c>
    </row>
    <row r="29" ht="31.5" spans="1:6">
      <c r="A29" s="31">
        <v>10</v>
      </c>
      <c r="B29" s="32" t="s">
        <v>303</v>
      </c>
      <c r="C29" s="58" t="s">
        <v>208</v>
      </c>
      <c r="D29" s="29">
        <v>0</v>
      </c>
      <c r="E29" s="31">
        <v>6</v>
      </c>
      <c r="F29" s="59">
        <f t="shared" si="1"/>
        <v>0</v>
      </c>
    </row>
    <row r="30" ht="15.75" spans="1:6">
      <c r="A30" s="49" t="s">
        <v>44</v>
      </c>
      <c r="B30" s="50"/>
      <c r="C30" s="50"/>
      <c r="D30" s="50"/>
      <c r="E30" s="50"/>
      <c r="F30" s="51">
        <f>TRUNC(SUM(F20:F29),2)</f>
        <v>0</v>
      </c>
    </row>
    <row r="31" spans="1:6">
      <c r="A31" s="52"/>
      <c r="B31" s="53" t="s">
        <v>287</v>
      </c>
      <c r="C31" s="54"/>
      <c r="D31" s="54"/>
      <c r="E31" s="54"/>
      <c r="F31" s="55">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2" workbookViewId="0">
      <selection activeCell="A6" sqref="A6:E6"/>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3" t="s">
        <v>201</v>
      </c>
      <c r="B1" s="24" t="s">
        <v>202</v>
      </c>
      <c r="C1" s="24" t="s">
        <v>203</v>
      </c>
      <c r="D1" s="24" t="s">
        <v>275</v>
      </c>
      <c r="E1" s="24" t="s">
        <v>205</v>
      </c>
      <c r="F1" s="25" t="s">
        <v>206</v>
      </c>
    </row>
    <row r="2" ht="128.25" spans="1:6">
      <c r="A2" s="26">
        <v>1</v>
      </c>
      <c r="B2" s="27" t="s">
        <v>304</v>
      </c>
      <c r="C2" s="28" t="s">
        <v>208</v>
      </c>
      <c r="D2" s="29">
        <v>0</v>
      </c>
      <c r="E2" s="28">
        <v>1</v>
      </c>
      <c r="F2" s="30">
        <v>435.59</v>
      </c>
    </row>
    <row r="3" ht="102.75" spans="1:6">
      <c r="A3" s="31">
        <v>2</v>
      </c>
      <c r="B3" s="32" t="s">
        <v>305</v>
      </c>
      <c r="C3" s="33" t="s">
        <v>208</v>
      </c>
      <c r="D3" s="34">
        <v>0</v>
      </c>
      <c r="E3" s="33">
        <v>1</v>
      </c>
      <c r="F3" s="35">
        <v>1290.41</v>
      </c>
    </row>
    <row r="4" ht="153.75" spans="1:6">
      <c r="A4" s="36">
        <v>3</v>
      </c>
      <c r="B4" s="27" t="s">
        <v>306</v>
      </c>
      <c r="C4" s="37" t="s">
        <v>208</v>
      </c>
      <c r="D4" s="34">
        <v>0</v>
      </c>
      <c r="E4" s="37">
        <v>1</v>
      </c>
      <c r="F4" s="38">
        <f>TRUNC(E4*D4,2)</f>
        <v>0</v>
      </c>
    </row>
    <row r="5" ht="102" spans="1:6">
      <c r="A5" s="31">
        <v>4</v>
      </c>
      <c r="B5" s="32" t="s">
        <v>307</v>
      </c>
      <c r="C5" s="33" t="s">
        <v>208</v>
      </c>
      <c r="D5" s="34">
        <v>0</v>
      </c>
      <c r="E5" s="33">
        <v>2</v>
      </c>
      <c r="F5" s="35">
        <f>TRUNC(E5*D5,2)</f>
        <v>0</v>
      </c>
    </row>
    <row r="6" spans="1:6">
      <c r="A6" s="39" t="s">
        <v>44</v>
      </c>
      <c r="B6" s="40"/>
      <c r="C6" s="40"/>
      <c r="D6" s="40"/>
      <c r="E6" s="41"/>
      <c r="F6" s="42">
        <f>TRUNC(SUM(F2:F5),2)</f>
        <v>1726</v>
      </c>
    </row>
    <row r="7" spans="1:6">
      <c r="A7" s="39" t="s">
        <v>308</v>
      </c>
      <c r="B7" s="40"/>
      <c r="C7" s="40"/>
      <c r="D7" s="40"/>
      <c r="E7" s="41"/>
      <c r="F7" s="43">
        <f>TRUNC(F6*0.5%,2)</f>
        <v>8.63</v>
      </c>
    </row>
    <row r="8" spans="1:6">
      <c r="A8" s="44" t="s">
        <v>309</v>
      </c>
      <c r="B8" s="44"/>
      <c r="C8" s="44"/>
      <c r="D8" s="44"/>
      <c r="E8" s="44"/>
      <c r="F8" s="45">
        <f>TRUNC(F6*(1-0.2)/(12*8))</f>
        <v>14</v>
      </c>
    </row>
    <row r="9" spans="1:6">
      <c r="A9" s="44" t="s">
        <v>310</v>
      </c>
      <c r="B9" s="44"/>
      <c r="C9" s="44"/>
      <c r="D9" s="44"/>
      <c r="E9" s="44"/>
      <c r="F9" s="45">
        <f>TRUNC(SUM(F7:F8))</f>
        <v>22</v>
      </c>
    </row>
    <row r="10" spans="1:6">
      <c r="A10" s="44" t="s">
        <v>311</v>
      </c>
      <c r="B10" s="44"/>
      <c r="C10" s="44"/>
      <c r="D10" s="44"/>
      <c r="E10" s="44"/>
      <c r="F10" s="45">
        <f>TRUNC(F9/'ASG com Insalubridade (40%)'!G7,2)</f>
        <v>7.33</v>
      </c>
    </row>
  </sheetData>
  <mergeCells count="5">
    <mergeCell ref="A6:E6"/>
    <mergeCell ref="A7:E7"/>
    <mergeCell ref="A8:E8"/>
    <mergeCell ref="A9:E9"/>
    <mergeCell ref="A10:E10"/>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workbookViewId="0">
      <selection activeCell="A23" sqref="A23"/>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9" t="s">
        <v>312</v>
      </c>
      <c r="B1" s="9"/>
      <c r="C1" s="9"/>
      <c r="D1" s="9"/>
      <c r="E1" s="9"/>
      <c r="F1" s="9"/>
      <c r="G1" s="9"/>
      <c r="H1" s="9"/>
      <c r="I1" s="9"/>
      <c r="J1" s="9"/>
      <c r="K1" s="9"/>
      <c r="L1" s="9"/>
      <c r="M1" s="9"/>
      <c r="N1" s="9"/>
    </row>
    <row r="2" ht="45" spans="1:14">
      <c r="A2" s="10" t="s">
        <v>3</v>
      </c>
      <c r="B2" s="10" t="s">
        <v>313</v>
      </c>
      <c r="C2" s="10" t="s">
        <v>314</v>
      </c>
      <c r="D2" s="10" t="s">
        <v>315</v>
      </c>
      <c r="E2" s="10" t="s">
        <v>316</v>
      </c>
      <c r="F2" s="10" t="s">
        <v>317</v>
      </c>
      <c r="G2" s="10" t="s">
        <v>318</v>
      </c>
      <c r="H2" s="10" t="s">
        <v>319</v>
      </c>
      <c r="I2" s="10" t="s">
        <v>320</v>
      </c>
      <c r="J2" s="13" t="s">
        <v>321</v>
      </c>
      <c r="K2" s="10" t="s">
        <v>322</v>
      </c>
      <c r="L2" s="13" t="s">
        <v>323</v>
      </c>
      <c r="M2" s="10" t="s">
        <v>324</v>
      </c>
      <c r="N2" s="10" t="s">
        <v>325</v>
      </c>
    </row>
    <row r="3" spans="1:14">
      <c r="A3" s="11" t="s">
        <v>326</v>
      </c>
      <c r="B3" s="12" t="s">
        <v>327</v>
      </c>
      <c r="C3" s="10">
        <v>0</v>
      </c>
      <c r="D3" s="13"/>
      <c r="E3" s="13"/>
      <c r="F3" s="13">
        <v>800</v>
      </c>
      <c r="G3" s="13">
        <v>1200</v>
      </c>
      <c r="H3" s="13">
        <f t="shared" ref="H3:H20" si="0">MEDIAN(F3:G3)</f>
        <v>1000</v>
      </c>
      <c r="I3" s="19">
        <f>F3</f>
        <v>800</v>
      </c>
      <c r="J3" s="13">
        <f>IF(Table328[[#This Row],[Frequência no mês/semestre]]&gt;0,Table328[[#This Row],[Frequência no mês/semestre]]*Table328[[#This Row],[Jornada de Trabalho no mês/Semestre]]*(1/Table328[[#This Row],[Produtividade Personalizada]]),1/Table328[[#This Row],[Produtividade Personalizada]])</f>
        <v>0.00125</v>
      </c>
      <c r="K3" s="20">
        <f>IF(Table328[[#This Row],[Quantidade]]&gt;0,Table328[[#This Row],[Ki]]*Table328[[#This Row],[Quantidade]],0)</f>
        <v>0</v>
      </c>
      <c r="L3" s="21">
        <f t="shared" ref="L3:L20" si="1">(1+((L$21-K$21)/K$21))*J3</f>
        <v>0.00131552534286488</v>
      </c>
      <c r="M3" s="13">
        <f t="shared" ref="M3:M20" si="2">L3*C3</f>
        <v>0</v>
      </c>
      <c r="N3" s="20">
        <f>IF(Table328[[#This Row],[Quantidade]]=0,0,IF(Table328[[#This Row],[Frequência no mês/semestre]]=0,1/Table328[[#This Row],[Ki ajustado]],(Table328[[#This Row],[Frequência no mês/semestre]]*Table328[[#This Row],[Jornada de Trabalho no mês/Semestre]])/Table328[[#This Row],[Ki ajustado]]))</f>
        <v>0</v>
      </c>
    </row>
    <row r="4" spans="1:14">
      <c r="A4" s="11" t="s">
        <v>328</v>
      </c>
      <c r="B4" s="12" t="s">
        <v>327</v>
      </c>
      <c r="C4" s="10">
        <v>1518.68</v>
      </c>
      <c r="D4" s="13"/>
      <c r="E4" s="13"/>
      <c r="F4" s="13">
        <v>800</v>
      </c>
      <c r="G4" s="13">
        <v>1200</v>
      </c>
      <c r="H4" s="13">
        <f t="shared" si="0"/>
        <v>1000</v>
      </c>
      <c r="I4" s="19">
        <f t="shared" ref="I4:I20" si="3">F4</f>
        <v>800</v>
      </c>
      <c r="J4" s="13">
        <f>IF(Table328[[#This Row],[Frequência no mês/semestre]]&gt;0,Table328[[#This Row],[Frequência no mês/semestre]]*Table328[[#This Row],[Jornada de Trabalho no mês/Semestre]]*(1/Table328[[#This Row],[Produtividade Personalizada]]),1/Table328[[#This Row],[Produtividade Personalizada]])</f>
        <v>0.00125</v>
      </c>
      <c r="K4" s="20">
        <f>IF(Table328[[#This Row],[Quantidade]]&gt;0,Table328[[#This Row],[Ki]]*Table328[[#This Row],[Quantidade]],0)</f>
        <v>1.89835</v>
      </c>
      <c r="L4" s="21">
        <f t="shared" si="1"/>
        <v>0.00131552534286488</v>
      </c>
      <c r="M4" s="13">
        <f t="shared" si="2"/>
        <v>1.99786202770204</v>
      </c>
      <c r="N4" s="20">
        <f>IF(Table328[[#This Row],[Quantidade]]=0,0,IF(Table328[[#This Row],[Frequência no mês/semestre]]=0,1/Table328[[#This Row],[Ki ajustado]],(Table328[[#This Row],[Frequência no mês/semestre]]*Table328[[#This Row],[Jornada de Trabalho no mês/Semestre]])/Table328[[#This Row],[Ki ajustado]]))</f>
        <v>760.152592592593</v>
      </c>
    </row>
    <row r="5" spans="1:14">
      <c r="A5" s="11" t="s">
        <v>329</v>
      </c>
      <c r="B5" s="12" t="s">
        <v>327</v>
      </c>
      <c r="C5" s="10">
        <v>0</v>
      </c>
      <c r="D5" s="13"/>
      <c r="E5" s="13"/>
      <c r="F5" s="13">
        <v>360</v>
      </c>
      <c r="G5" s="13">
        <v>450</v>
      </c>
      <c r="H5" s="13">
        <f t="shared" si="0"/>
        <v>405</v>
      </c>
      <c r="I5" s="19">
        <f t="shared" si="3"/>
        <v>360</v>
      </c>
      <c r="J5" s="13">
        <f>IF(Table328[[#This Row],[Frequência no mês/semestre]]&gt;0,Table328[[#This Row],[Frequência no mês/semestre]]*Table328[[#This Row],[Jornada de Trabalho no mês/Semestre]]*(1/Table328[[#This Row],[Produtividade Personalizada]]),1/Table328[[#This Row],[Produtividade Personalizada]])</f>
        <v>0.00277777777777778</v>
      </c>
      <c r="K5" s="20">
        <f>IF(Table328[[#This Row],[Quantidade]]&gt;0,Table328[[#This Row],[Ki]]*Table328[[#This Row],[Quantidade]],0)</f>
        <v>0</v>
      </c>
      <c r="L5" s="21">
        <f t="shared" si="1"/>
        <v>0.00292338965081085</v>
      </c>
      <c r="M5" s="13">
        <f t="shared" si="2"/>
        <v>0</v>
      </c>
      <c r="N5" s="20">
        <f>IF(Table328[[#This Row],[Quantidade]]=0,0,IF(Table328[[#This Row],[Frequência no mês/semestre]]=0,1/Table328[[#This Row],[Ki ajustado]],(Table328[[#This Row],[Frequência no mês/semestre]]*Table328[[#This Row],[Jornada de Trabalho no mês/Semestre]])/Table328[[#This Row],[Ki ajustado]]))</f>
        <v>0</v>
      </c>
    </row>
    <row r="6" spans="1:14">
      <c r="A6" s="11" t="s">
        <v>330</v>
      </c>
      <c r="B6" s="12" t="s">
        <v>327</v>
      </c>
      <c r="C6" s="10">
        <v>0</v>
      </c>
      <c r="D6" s="13"/>
      <c r="E6" s="13"/>
      <c r="F6" s="13">
        <v>1500</v>
      </c>
      <c r="G6" s="13">
        <v>2500</v>
      </c>
      <c r="H6" s="13">
        <f t="shared" si="0"/>
        <v>2000</v>
      </c>
      <c r="I6" s="19">
        <f t="shared" si="3"/>
        <v>1500</v>
      </c>
      <c r="J6" s="13">
        <f>IF(Table328[[#This Row],[Frequência no mês/semestre]]&gt;0,Table328[[#This Row],[Frequência no mês/semestre]]*Table328[[#This Row],[Jornada de Trabalho no mês/Semestre]]*(1/Table328[[#This Row],[Produtividade Personalizada]]),1/Table328[[#This Row],[Produtividade Personalizada]])</f>
        <v>0.000666666666666667</v>
      </c>
      <c r="K6" s="20">
        <f>IF(Table328[[#This Row],[Quantidade]]&gt;0,Table328[[#This Row],[Ki]]*Table328[[#This Row],[Quantidade]],0)</f>
        <v>0</v>
      </c>
      <c r="L6" s="21">
        <f t="shared" si="1"/>
        <v>0.000701613516194604</v>
      </c>
      <c r="M6" s="13">
        <f t="shared" si="2"/>
        <v>0</v>
      </c>
      <c r="N6" s="20">
        <f>IF(Table328[[#This Row],[Quantidade]]=0,0,IF(Table328[[#This Row],[Frequência no mês/semestre]]=0,1/Table328[[#This Row],[Ki ajustado]],(Table328[[#This Row],[Frequência no mês/semestre]]*Table328[[#This Row],[Jornada de Trabalho no mês/Semestre]])/Table328[[#This Row],[Ki ajustado]]))</f>
        <v>0</v>
      </c>
    </row>
    <row r="7" spans="1:14">
      <c r="A7" s="11" t="s">
        <v>331</v>
      </c>
      <c r="B7" s="12" t="s">
        <v>327</v>
      </c>
      <c r="C7" s="10">
        <v>0</v>
      </c>
      <c r="D7" s="13"/>
      <c r="E7" s="13"/>
      <c r="F7" s="13">
        <v>1200</v>
      </c>
      <c r="G7" s="13">
        <v>1800</v>
      </c>
      <c r="H7" s="13">
        <f t="shared" si="0"/>
        <v>1500</v>
      </c>
      <c r="I7" s="19">
        <f t="shared" si="3"/>
        <v>1200</v>
      </c>
      <c r="J7" s="13">
        <f>IF(Table328[[#This Row],[Frequência no mês/semestre]]&gt;0,Table328[[#This Row],[Frequência no mês/semestre]]*Table328[[#This Row],[Jornada de Trabalho no mês/Semestre]]*(1/Table328[[#This Row],[Produtividade Personalizada]]),1/Table328[[#This Row],[Produtividade Personalizada]])</f>
        <v>0.000833333333333333</v>
      </c>
      <c r="K7" s="20">
        <f>IF(Table328[[#This Row],[Quantidade]]&gt;0,Table328[[#This Row],[Ki]]*Table328[[#This Row],[Quantidade]],0)</f>
        <v>0</v>
      </c>
      <c r="L7" s="21">
        <f t="shared" si="1"/>
        <v>0.000877016895243254</v>
      </c>
      <c r="M7" s="13">
        <f t="shared" si="2"/>
        <v>0</v>
      </c>
      <c r="N7" s="20">
        <f>IF(Table328[[#This Row],[Quantidade]]=0,0,IF(Table328[[#This Row],[Frequência no mês/semestre]]=0,1/Table328[[#This Row],[Ki ajustado]],(Table328[[#This Row],[Frequência no mês/semestre]]*Table328[[#This Row],[Jornada de Trabalho no mês/Semestre]])/Table328[[#This Row],[Ki ajustado]]))</f>
        <v>0</v>
      </c>
    </row>
    <row r="8" spans="1:14">
      <c r="A8" s="11" t="s">
        <v>332</v>
      </c>
      <c r="B8" s="12" t="s">
        <v>327</v>
      </c>
      <c r="C8" s="10">
        <v>0</v>
      </c>
      <c r="D8" s="13"/>
      <c r="E8" s="13"/>
      <c r="F8" s="13">
        <v>1000</v>
      </c>
      <c r="G8" s="13">
        <v>1500</v>
      </c>
      <c r="H8" s="13">
        <f t="shared" si="0"/>
        <v>1250</v>
      </c>
      <c r="I8" s="19">
        <f t="shared" si="3"/>
        <v>1000</v>
      </c>
      <c r="J8" s="13">
        <f>IF(Table328[[#This Row],[Frequência no mês/semestre]]&gt;0,Table328[[#This Row],[Frequência no mês/semestre]]*Table328[[#This Row],[Jornada de Trabalho no mês/Semestre]]*(1/Table328[[#This Row],[Produtividade Personalizada]]),1/Table328[[#This Row],[Produtividade Personalizada]])</f>
        <v>0.001</v>
      </c>
      <c r="K8" s="20">
        <f>IF(Table328[[#This Row],[Quantidade]]&gt;0,Table328[[#This Row],[Ki]]*Table328[[#This Row],[Quantidade]],0)</f>
        <v>0</v>
      </c>
      <c r="L8" s="21">
        <f t="shared" si="1"/>
        <v>0.00105242027429191</v>
      </c>
      <c r="M8" s="13">
        <f t="shared" si="2"/>
        <v>0</v>
      </c>
      <c r="N8" s="20">
        <f>IF(Table328[[#This Row],[Quantidade]]=0,0,IF(Table328[[#This Row],[Frequência no mês/semestre]]=0,1/Table328[[#This Row],[Ki ajustado]],(Table328[[#This Row],[Frequência no mês/semestre]]*Table328[[#This Row],[Jornada de Trabalho no mês/Semestre]])/Table328[[#This Row],[Ki ajustado]]))</f>
        <v>0</v>
      </c>
    </row>
    <row r="9" spans="1:14">
      <c r="A9" s="11" t="s">
        <v>333</v>
      </c>
      <c r="B9" s="12" t="s">
        <v>327</v>
      </c>
      <c r="C9" s="10">
        <v>36</v>
      </c>
      <c r="D9" s="13"/>
      <c r="E9" s="13"/>
      <c r="F9" s="13">
        <v>200</v>
      </c>
      <c r="G9" s="13">
        <v>300</v>
      </c>
      <c r="H9" s="13">
        <f t="shared" si="0"/>
        <v>250</v>
      </c>
      <c r="I9" s="19">
        <f t="shared" si="3"/>
        <v>200</v>
      </c>
      <c r="J9" s="13">
        <f>IF(Table328[[#This Row],[Frequência no mês/semestre]]&gt;0,Table328[[#This Row],[Frequência no mês/semestre]]*Table328[[#This Row],[Jornada de Trabalho no mês/Semestre]]*(1/Table328[[#This Row],[Produtividade Personalizada]]),1/Table328[[#This Row],[Produtividade Personalizada]])</f>
        <v>0.005</v>
      </c>
      <c r="K9" s="20">
        <f>IF(Table328[[#This Row],[Quantidade]]&gt;0,Table328[[#This Row],[Ki]]*Table328[[#This Row],[Quantidade]],0)</f>
        <v>0.18</v>
      </c>
      <c r="L9" s="21">
        <f t="shared" si="1"/>
        <v>0.00526210137145953</v>
      </c>
      <c r="M9" s="13">
        <f t="shared" si="2"/>
        <v>0.189435649372543</v>
      </c>
      <c r="N9" s="20">
        <f>IF(Table328[[#This Row],[Quantidade]]=0,0,IF(Table328[[#This Row],[Frequência no mês/semestre]]=0,1/Table328[[#This Row],[Ki ajustado]],(Table328[[#This Row],[Frequência no mês/semestre]]*Table328[[#This Row],[Jornada de Trabalho no mês/Semestre]])/Table328[[#This Row],[Ki ajustado]]))</f>
        <v>190.038148148148</v>
      </c>
    </row>
    <row r="10" spans="1:14">
      <c r="A10" s="11" t="s">
        <v>334</v>
      </c>
      <c r="B10" s="12" t="s">
        <v>335</v>
      </c>
      <c r="C10" s="10">
        <v>0</v>
      </c>
      <c r="D10" s="13"/>
      <c r="E10" s="13"/>
      <c r="F10" s="13">
        <v>1800</v>
      </c>
      <c r="G10" s="13">
        <v>2700</v>
      </c>
      <c r="H10" s="13">
        <f t="shared" si="0"/>
        <v>2250</v>
      </c>
      <c r="I10" s="19">
        <f t="shared" si="3"/>
        <v>1800</v>
      </c>
      <c r="J10" s="13">
        <f>IF(Table328[[#This Row],[Frequência no mês/semestre]]&gt;0,Table328[[#This Row],[Frequência no mês/semestre]]*Table328[[#This Row],[Jornada de Trabalho no mês/Semestre]]*(1/Table328[[#This Row],[Produtividade Personalizada]]),1/Table328[[#This Row],[Produtividade Personalizada]])</f>
        <v>0.000555555555555556</v>
      </c>
      <c r="K10" s="20">
        <f>IF(Table328[[#This Row],[Quantidade]]&gt;0,Table328[[#This Row],[Ki]]*Table328[[#This Row],[Quantidade]],0)</f>
        <v>0</v>
      </c>
      <c r="L10" s="21">
        <f t="shared" si="1"/>
        <v>0.00058467793016217</v>
      </c>
      <c r="M10" s="13">
        <f t="shared" si="2"/>
        <v>0</v>
      </c>
      <c r="N10" s="20">
        <f>IF(Table328[[#This Row],[Quantidade]]=0,0,IF(Table328[[#This Row],[Frequência no mês/semestre]]=0,1/Table328[[#This Row],[Ki ajustado]],(Table328[[#This Row],[Frequência no mês/semestre]]*Table328[[#This Row],[Jornada de Trabalho no mês/Semestre]])/Table328[[#This Row],[Ki ajustado]]))</f>
        <v>0</v>
      </c>
    </row>
    <row r="11" spans="1:14">
      <c r="A11" s="11" t="s">
        <v>336</v>
      </c>
      <c r="B11" s="12" t="s">
        <v>335</v>
      </c>
      <c r="C11" s="10">
        <v>0</v>
      </c>
      <c r="D11" s="13"/>
      <c r="E11" s="13"/>
      <c r="F11" s="13">
        <v>6000</v>
      </c>
      <c r="G11" s="13">
        <v>9000</v>
      </c>
      <c r="H11" s="13">
        <f t="shared" si="0"/>
        <v>7500</v>
      </c>
      <c r="I11" s="19">
        <f t="shared" si="3"/>
        <v>6000</v>
      </c>
      <c r="J11" s="13">
        <f>IF(Table328[[#This Row],[Frequência no mês/semestre]]&gt;0,Table328[[#This Row],[Frequência no mês/semestre]]*Table328[[#This Row],[Jornada de Trabalho no mês/Semestre]]*(1/Table328[[#This Row],[Produtividade Personalizada]]),1/Table328[[#This Row],[Produtividade Personalizada]])</f>
        <v>0.000166666666666667</v>
      </c>
      <c r="K11" s="20">
        <f>IF(Table328[[#This Row],[Quantidade]]&gt;0,Table328[[#This Row],[Ki]]*Table328[[#This Row],[Quantidade]],0)</f>
        <v>0</v>
      </c>
      <c r="L11" s="21">
        <f t="shared" si="1"/>
        <v>0.000175403379048651</v>
      </c>
      <c r="M11" s="13">
        <f t="shared" si="2"/>
        <v>0</v>
      </c>
      <c r="N11" s="20">
        <f>IF(Table328[[#This Row],[Quantidade]]=0,0,IF(Table328[[#This Row],[Frequência no mês/semestre]]=0,1/Table328[[#This Row],[Ki ajustado]],(Table328[[#This Row],[Frequência no mês/semestre]]*Table328[[#This Row],[Jornada de Trabalho no mês/Semestre]])/Table328[[#This Row],[Ki ajustado]]))</f>
        <v>0</v>
      </c>
    </row>
    <row r="12" spans="1:14">
      <c r="A12" s="11" t="s">
        <v>337</v>
      </c>
      <c r="B12" s="12" t="s">
        <v>335</v>
      </c>
      <c r="C12" s="10">
        <v>0</v>
      </c>
      <c r="D12" s="13"/>
      <c r="E12" s="13"/>
      <c r="F12" s="13">
        <v>1800</v>
      </c>
      <c r="G12" s="13">
        <v>2700</v>
      </c>
      <c r="H12" s="13">
        <f t="shared" si="0"/>
        <v>2250</v>
      </c>
      <c r="I12" s="19">
        <f t="shared" si="3"/>
        <v>1800</v>
      </c>
      <c r="J12" s="13">
        <f>IF(Table328[[#This Row],[Frequência no mês/semestre]]&gt;0,Table328[[#This Row],[Frequência no mês/semestre]]*Table328[[#This Row],[Jornada de Trabalho no mês/Semestre]]*(1/Table328[[#This Row],[Produtividade Personalizada]]),1/Table328[[#This Row],[Produtividade Personalizada]])</f>
        <v>0.000555555555555556</v>
      </c>
      <c r="K12" s="20">
        <f>IF(Table328[[#This Row],[Quantidade]]&gt;0,Table328[[#This Row],[Ki]]*Table328[[#This Row],[Quantidade]],0)</f>
        <v>0</v>
      </c>
      <c r="L12" s="21">
        <f t="shared" si="1"/>
        <v>0.00058467793016217</v>
      </c>
      <c r="M12" s="13">
        <f t="shared" si="2"/>
        <v>0</v>
      </c>
      <c r="N12" s="20">
        <f>IF(Table328[[#This Row],[Quantidade]]=0,0,IF(Table328[[#This Row],[Frequência no mês/semestre]]=0,1/Table328[[#This Row],[Ki ajustado]],(Table328[[#This Row],[Frequência no mês/semestre]]*Table328[[#This Row],[Jornada de Trabalho no mês/Semestre]])/Table328[[#This Row],[Ki ajustado]]))</f>
        <v>0</v>
      </c>
    </row>
    <row r="13" spans="1:14">
      <c r="A13" s="11" t="s">
        <v>338</v>
      </c>
      <c r="B13" s="12" t="s">
        <v>335</v>
      </c>
      <c r="C13" s="10">
        <v>1390</v>
      </c>
      <c r="D13" s="13"/>
      <c r="E13" s="13"/>
      <c r="F13" s="13">
        <v>1800</v>
      </c>
      <c r="G13" s="13">
        <v>2700</v>
      </c>
      <c r="H13" s="13">
        <f t="shared" si="0"/>
        <v>2250</v>
      </c>
      <c r="I13" s="19">
        <f t="shared" si="3"/>
        <v>1800</v>
      </c>
      <c r="J13" s="13">
        <f>IF(Table328[[#This Row],[Frequência no mês/semestre]]&gt;0,Table328[[#This Row],[Frequência no mês/semestre]]*Table328[[#This Row],[Jornada de Trabalho no mês/Semestre]]*(1/Table328[[#This Row],[Produtividade Personalizada]]),1/Table328[[#This Row],[Produtividade Personalizada]])</f>
        <v>0.000555555555555556</v>
      </c>
      <c r="K13" s="20">
        <f>IF(Table328[[#This Row],[Quantidade]]&gt;0,Table328[[#This Row],[Ki]]*Table328[[#This Row],[Quantidade]],0)</f>
        <v>0.772222222222223</v>
      </c>
      <c r="L13" s="21">
        <f t="shared" si="1"/>
        <v>0.00058467793016217</v>
      </c>
      <c r="M13" s="13">
        <f t="shared" si="2"/>
        <v>0.812702322925417</v>
      </c>
      <c r="N13" s="20">
        <f>IF(Table328[[#This Row],[Quantidade]]=0,0,IF(Table328[[#This Row],[Frequência no mês/semestre]]=0,1/Table328[[#This Row],[Ki ajustado]],(Table328[[#This Row],[Frequência no mês/semestre]]*Table328[[#This Row],[Jornada de Trabalho no mês/Semestre]])/Table328[[#This Row],[Ki ajustado]]))</f>
        <v>1710.34333333333</v>
      </c>
    </row>
    <row r="14" spans="1:14">
      <c r="A14" s="11" t="s">
        <v>339</v>
      </c>
      <c r="B14" s="12" t="s">
        <v>335</v>
      </c>
      <c r="C14" s="10">
        <v>0</v>
      </c>
      <c r="D14" s="13"/>
      <c r="E14" s="13"/>
      <c r="F14" s="13">
        <v>1800</v>
      </c>
      <c r="G14" s="13">
        <v>2700</v>
      </c>
      <c r="H14" s="13">
        <f t="shared" si="0"/>
        <v>2250</v>
      </c>
      <c r="I14" s="19">
        <f t="shared" si="3"/>
        <v>1800</v>
      </c>
      <c r="J14" s="13">
        <f>IF(Table328[[#This Row],[Frequência no mês/semestre]]&gt;0,Table328[[#This Row],[Frequência no mês/semestre]]*Table328[[#This Row],[Jornada de Trabalho no mês/Semestre]]*(1/Table328[[#This Row],[Produtividade Personalizada]]),1/Table328[[#This Row],[Produtividade Personalizada]])</f>
        <v>0.000555555555555556</v>
      </c>
      <c r="K14" s="20">
        <f>IF(Table328[[#This Row],[Quantidade]]&gt;0,Table328[[#This Row],[Ki]]*Table328[[#This Row],[Quantidade]],0)</f>
        <v>0</v>
      </c>
      <c r="L14" s="21">
        <f t="shared" si="1"/>
        <v>0.00058467793016217</v>
      </c>
      <c r="M14" s="13">
        <f t="shared" si="2"/>
        <v>0</v>
      </c>
      <c r="N14" s="20">
        <f>IF(Table328[[#This Row],[Quantidade]]=0,0,IF(Table328[[#This Row],[Frequência no mês/semestre]]=0,1/Table328[[#This Row],[Ki ajustado]],(Table328[[#This Row],[Frequência no mês/semestre]]*Table328[[#This Row],[Jornada de Trabalho no mês/Semestre]])/Table328[[#This Row],[Ki ajustado]]))</f>
        <v>0</v>
      </c>
    </row>
    <row r="15" spans="1:14">
      <c r="A15" s="11" t="s">
        <v>340</v>
      </c>
      <c r="B15" s="12" t="s">
        <v>335</v>
      </c>
      <c r="C15" s="10">
        <v>0</v>
      </c>
      <c r="D15" s="13"/>
      <c r="E15" s="13"/>
      <c r="F15" s="13">
        <v>100000</v>
      </c>
      <c r="G15" s="13">
        <v>100000</v>
      </c>
      <c r="H15" s="13">
        <f t="shared" si="0"/>
        <v>100000</v>
      </c>
      <c r="I15" s="19">
        <f t="shared" si="3"/>
        <v>100000</v>
      </c>
      <c r="J15" s="13">
        <f>IF(Table328[[#This Row],[Frequência no mês/semestre]]&gt;0,Table328[[#This Row],[Frequência no mês/semestre]]*Table328[[#This Row],[Jornada de Trabalho no mês/Semestre]]*(1/Table328[[#This Row],[Produtividade Personalizada]]),1/Table328[[#This Row],[Produtividade Personalizada]])</f>
        <v>1e-5</v>
      </c>
      <c r="K15" s="20">
        <f>IF(Table328[[#This Row],[Quantidade]]&gt;0,Table328[[#This Row],[Ki]]*Table328[[#This Row],[Quantidade]],0)</f>
        <v>0</v>
      </c>
      <c r="L15" s="21">
        <f t="shared" si="1"/>
        <v>1.05242027429191e-5</v>
      </c>
      <c r="M15" s="13">
        <f t="shared" si="2"/>
        <v>0</v>
      </c>
      <c r="N15" s="20">
        <f>IF(Table328[[#This Row],[Quantidade]]=0,0,IF(Table328[[#This Row],[Frequência no mês/semestre]]=0,1/Table328[[#This Row],[Ki ajustado]],(Table328[[#This Row],[Frequência no mês/semestre]]*Table328[[#This Row],[Jornada de Trabalho no mês/Semestre]])/Table328[[#This Row],[Ki ajustado]]))</f>
        <v>0</v>
      </c>
    </row>
    <row r="16" spans="1:14">
      <c r="A16" s="11" t="s">
        <v>341</v>
      </c>
      <c r="B16" s="12" t="s">
        <v>342</v>
      </c>
      <c r="C16" s="10">
        <v>0</v>
      </c>
      <c r="D16" s="13">
        <v>16</v>
      </c>
      <c r="E16" s="13">
        <f t="shared" ref="E16:E18" si="4">1/188.76</f>
        <v>0.00529773257045984</v>
      </c>
      <c r="F16" s="13">
        <v>130</v>
      </c>
      <c r="G16" s="13">
        <v>160</v>
      </c>
      <c r="H16" s="13">
        <f t="shared" si="0"/>
        <v>145</v>
      </c>
      <c r="I16" s="19">
        <f t="shared" si="3"/>
        <v>130</v>
      </c>
      <c r="J16" s="13">
        <f>IF(Table328[[#This Row],[Frequência no mês/semestre]]&gt;0,Table328[[#This Row],[Frequência no mês/semestre]]*Table328[[#This Row],[Jornada de Trabalho no mês/Semestre]]*(1/Table328[[#This Row],[Produtividade Personalizada]]),1/Table328[[#This Row],[Produtividade Personalizada]])</f>
        <v>0.000652028624056596</v>
      </c>
      <c r="K16" s="20">
        <f>IF(Table328[[#This Row],[Quantidade]]&gt;0,Table328[[#This Row],[Ki]]*Table328[[#This Row],[Quantidade]],0)</f>
        <v>0</v>
      </c>
      <c r="L16" s="21">
        <f t="shared" si="1"/>
        <v>0.000686208143375817</v>
      </c>
      <c r="M16" s="13">
        <f t="shared" si="2"/>
        <v>0</v>
      </c>
      <c r="N16" s="20">
        <f>IF(Table328[[#This Row],[Quantidade]]=0,0,IF(Table328[[#This Row],[Frequência no mês/semestre]]=0,1/Table328[[#This Row],[Ki ajustado]],(Table328[[#This Row],[Frequência no mês/semestre]]*Table328[[#This Row],[Jornada de Trabalho no mês/Semestre]])/Table328[[#This Row],[Ki ajustado]]))</f>
        <v>0</v>
      </c>
    </row>
    <row r="17" spans="1:14">
      <c r="A17" s="11" t="s">
        <v>343</v>
      </c>
      <c r="B17" s="12" t="s">
        <v>342</v>
      </c>
      <c r="C17" s="10">
        <v>0</v>
      </c>
      <c r="D17" s="13">
        <v>16</v>
      </c>
      <c r="E17" s="13">
        <f t="shared" si="4"/>
        <v>0.00529773257045984</v>
      </c>
      <c r="F17" s="13">
        <v>300</v>
      </c>
      <c r="G17" s="13">
        <v>380</v>
      </c>
      <c r="H17" s="13">
        <f t="shared" si="0"/>
        <v>340</v>
      </c>
      <c r="I17" s="19">
        <f t="shared" si="3"/>
        <v>300</v>
      </c>
      <c r="J17" s="13">
        <f>IF(Table328[[#This Row],[Frequência no mês/semestre]]&gt;0,Table328[[#This Row],[Frequência no mês/semestre]]*Table328[[#This Row],[Jornada de Trabalho no mês/Semestre]]*(1/Table328[[#This Row],[Produtividade Personalizada]]),1/Table328[[#This Row],[Produtividade Personalizada]])</f>
        <v>0.000282545737091192</v>
      </c>
      <c r="K17" s="20">
        <f>IF(Table328[[#This Row],[Quantidade]]&gt;0,Table328[[#This Row],[Ki]]*Table328[[#This Row],[Quantidade]],0)</f>
        <v>0</v>
      </c>
      <c r="L17" s="21">
        <f t="shared" si="1"/>
        <v>0.000297356862129521</v>
      </c>
      <c r="M17" s="13">
        <f t="shared" si="2"/>
        <v>0</v>
      </c>
      <c r="N17" s="20">
        <f>IF(Table328[[#This Row],[Quantidade]]=0,0,IF(Table328[[#This Row],[Frequência no mês/semestre]]=0,1/Table328[[#This Row],[Ki ajustado]],(Table328[[#This Row],[Frequência no mês/semestre]]*Table328[[#This Row],[Jornada de Trabalho no mês/Semestre]])/Table328[[#This Row],[Ki ajustado]]))</f>
        <v>0</v>
      </c>
    </row>
    <row r="18" spans="1:14">
      <c r="A18" s="11" t="s">
        <v>344</v>
      </c>
      <c r="B18" s="12" t="s">
        <v>342</v>
      </c>
      <c r="C18" s="10">
        <v>0</v>
      </c>
      <c r="D18" s="13">
        <v>16</v>
      </c>
      <c r="E18" s="13">
        <f t="shared" si="4"/>
        <v>0.00529773257045984</v>
      </c>
      <c r="F18" s="13">
        <v>300</v>
      </c>
      <c r="G18" s="13">
        <v>380</v>
      </c>
      <c r="H18" s="13">
        <f t="shared" si="0"/>
        <v>340</v>
      </c>
      <c r="I18" s="19">
        <f t="shared" si="3"/>
        <v>300</v>
      </c>
      <c r="J18" s="13">
        <f>IF(Table328[[#This Row],[Frequência no mês/semestre]]&gt;0,Table328[[#This Row],[Frequência no mês/semestre]]*Table328[[#This Row],[Jornada de Trabalho no mês/Semestre]]*(1/Table328[[#This Row],[Produtividade Personalizada]]),1/Table328[[#This Row],[Produtividade Personalizada]])</f>
        <v>0.000282545737091192</v>
      </c>
      <c r="K18" s="20">
        <f>IF(Table328[[#This Row],[Quantidade]]&gt;0,Table328[[#This Row],[Ki]]*Table328[[#This Row],[Quantidade]],0)</f>
        <v>0</v>
      </c>
      <c r="L18" s="21">
        <f t="shared" si="1"/>
        <v>0.000297356862129521</v>
      </c>
      <c r="M18" s="13">
        <f t="shared" si="2"/>
        <v>0</v>
      </c>
      <c r="N18" s="20">
        <f>IF(Table328[[#This Row],[Quantidade]]=0,0,IF(Table328[[#This Row],[Frequência no mês/semestre]]=0,1/Table328[[#This Row],[Ki ajustado]],(Table328[[#This Row],[Frequência no mês/semestre]]*Table328[[#This Row],[Jornada de Trabalho no mês/Semestre]])/Table328[[#This Row],[Ki ajustado]]))</f>
        <v>0</v>
      </c>
    </row>
    <row r="19" spans="1:14">
      <c r="A19" s="11" t="s">
        <v>345</v>
      </c>
      <c r="B19" s="14" t="s">
        <v>345</v>
      </c>
      <c r="C19" s="15">
        <v>0</v>
      </c>
      <c r="D19" s="16">
        <v>8</v>
      </c>
      <c r="E19" s="16">
        <f>1/1132.6</f>
        <v>0.000882924245099771</v>
      </c>
      <c r="F19" s="13">
        <v>130</v>
      </c>
      <c r="G19" s="13">
        <v>160</v>
      </c>
      <c r="H19" s="13">
        <f t="shared" si="0"/>
        <v>145</v>
      </c>
      <c r="I19" s="19">
        <f t="shared" si="3"/>
        <v>130</v>
      </c>
      <c r="J19" s="13">
        <f>IF(Table328[[#This Row],[Frequência no mês/semestre]]&gt;0,Table328[[#This Row],[Frequência no mês/semestre]]*Table328[[#This Row],[Jornada de Trabalho no mês/Semestre]]*(1/Table328[[#This Row],[Produtividade Personalizada]]),1/Table328[[#This Row],[Produtividade Personalizada]])</f>
        <v>5.43337996984474e-5</v>
      </c>
      <c r="K19" s="20">
        <f>IF(Table328[[#This Row],[Quantidade]]&gt;0,Table328[[#This Row],[Ki]]*Table328[[#This Row],[Quantidade]],0)</f>
        <v>0</v>
      </c>
      <c r="L19" s="21">
        <f t="shared" si="1"/>
        <v>5.71819923819615e-5</v>
      </c>
      <c r="M19" s="13">
        <f t="shared" si="2"/>
        <v>0</v>
      </c>
      <c r="N19" s="20">
        <f>IF(Table328[[#This Row],[Quantidade]]=0,0,IF(Table328[[#This Row],[Frequência no mês/semestre]]=0,1/Table328[[#This Row],[Ki ajustado]],(Table328[[#This Row],[Frequência no mês/semestre]]*Table328[[#This Row],[Jornada de Trabalho no mês/Semestre]])/Table328[[#This Row],[Ki ajustado]]))</f>
        <v>0</v>
      </c>
    </row>
    <row r="20" spans="1:14">
      <c r="A20" s="11" t="s">
        <v>346</v>
      </c>
      <c r="B20" s="12" t="s">
        <v>347</v>
      </c>
      <c r="C20" s="10">
        <v>0</v>
      </c>
      <c r="D20" s="13"/>
      <c r="E20" s="13"/>
      <c r="F20" s="13">
        <v>360</v>
      </c>
      <c r="G20" s="13">
        <v>450</v>
      </c>
      <c r="H20" s="13">
        <f t="shared" si="0"/>
        <v>405</v>
      </c>
      <c r="I20" s="19">
        <f t="shared" si="3"/>
        <v>360</v>
      </c>
      <c r="J20" s="13">
        <f>IF(Table328[[#This Row],[Frequência no mês/semestre]]&gt;0,Table328[[#This Row],[Frequência no mês/semestre]]*Table328[[#This Row],[Jornada de Trabalho no mês/Semestre]]*(1/Table328[[#This Row],[Produtividade Personalizada]]),1/Table328[[#This Row],[Produtividade Personalizada]])</f>
        <v>0.00277777777777778</v>
      </c>
      <c r="K20" s="20">
        <f>IF(Table328[[#This Row],[Quantidade]]&gt;0,Table328[[#This Row],[Ki]]*Table328[[#This Row],[Quantidade]],0)</f>
        <v>0</v>
      </c>
      <c r="L20" s="21">
        <f t="shared" si="1"/>
        <v>0.00292338965081085</v>
      </c>
      <c r="M20" s="13">
        <f t="shared" si="2"/>
        <v>0</v>
      </c>
      <c r="N20" s="20">
        <f>IF(Table328[[#This Row],[Quantidade]]=0,0,IF(Table328[[#This Row],[Frequência no mês/semestre]]=0,1/Table328[[#This Row],[Ki ajustado]],(Table328[[#This Row],[Frequência no mês/semestre]]*Table328[[#This Row],[Jornada de Trabalho no mês/Semestre]])/Table328[[#This Row],[Ki ajustado]]))</f>
        <v>0</v>
      </c>
    </row>
    <row r="21" spans="1:14">
      <c r="A21" s="17" t="s">
        <v>44</v>
      </c>
      <c r="B21" s="18"/>
      <c r="C21" s="18"/>
      <c r="D21" s="13"/>
      <c r="E21" s="13"/>
      <c r="F21" s="13"/>
      <c r="G21" s="13"/>
      <c r="H21" s="13"/>
      <c r="I21" s="13"/>
      <c r="J21" s="13"/>
      <c r="K21" s="22">
        <f>SUBTOTAL(109,Table328[Quantidade de Serventes])</f>
        <v>2.85057222222222</v>
      </c>
      <c r="L21" s="22">
        <f>ROUND(K21,0)</f>
        <v>3</v>
      </c>
      <c r="M21" s="20">
        <f>SUBTOTAL(109,Table328[Quantidade de Serventes Ajustada])</f>
        <v>3</v>
      </c>
      <c r="N21" s="13"/>
    </row>
  </sheetData>
  <mergeCells count="1">
    <mergeCell ref="A1:N1"/>
  </mergeCells>
  <pageMargins left="0.75" right="0.75" top="1" bottom="1" header="0.5" footer="0.5"/>
  <headerFooter/>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workbookViewId="0">
      <selection activeCell="F41" sqref="F41"/>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348</v>
      </c>
      <c r="B1" s="1"/>
      <c r="C1" s="1"/>
      <c r="D1" s="1"/>
      <c r="E1" s="1"/>
      <c r="F1" s="1"/>
      <c r="G1" s="1"/>
      <c r="H1" s="1"/>
    </row>
    <row r="2" ht="30" spans="1:8">
      <c r="A2" s="2" t="s">
        <v>2</v>
      </c>
      <c r="B2" s="2" t="s">
        <v>3</v>
      </c>
      <c r="C2" s="2" t="s">
        <v>314</v>
      </c>
      <c r="D2" s="2" t="s">
        <v>321</v>
      </c>
      <c r="E2" s="2" t="s">
        <v>349</v>
      </c>
      <c r="F2" s="2" t="s">
        <v>350</v>
      </c>
      <c r="G2" s="2" t="s">
        <v>351</v>
      </c>
      <c r="H2" s="2" t="s">
        <v>352</v>
      </c>
    </row>
    <row r="3" spans="1:8">
      <c r="A3" s="3">
        <v>1</v>
      </c>
      <c r="B3" t="str">
        <f>[1]!Table328[[#This Row],[Descrição]]</f>
        <v>Pisos acarpetados</v>
      </c>
      <c r="C3" s="4">
        <f>'Áreas e Produtividade'!C3</f>
        <v>0</v>
      </c>
      <c r="D3">
        <f>'Áreas e Produtividade'!L3</f>
        <v>0.00131552534286488</v>
      </c>
      <c r="E3" s="5">
        <v>0</v>
      </c>
      <c r="F3" s="5">
        <v>0</v>
      </c>
      <c r="G3" s="5">
        <f>Table39[[#This Row],[Preço Homem -Mês (Servente)]]+Table39[[#This Row],[Preço Homem -Mês (Encarregado)]]</f>
        <v>0</v>
      </c>
      <c r="H3" s="5">
        <f>Table39[[#This Row],[Preço m²]]*Table39[[#This Row],[Quantidade]]</f>
        <v>0</v>
      </c>
    </row>
    <row r="4" spans="1:8">
      <c r="A4" s="3">
        <v>2</v>
      </c>
      <c r="B4" t="str">
        <f>[1]!Table328[[#This Row],[Descrição]]</f>
        <v>Pisos frios</v>
      </c>
      <c r="C4" s="4">
        <f>'Áreas e Produtividade'!C4</f>
        <v>1518.68</v>
      </c>
      <c r="D4">
        <f>'Áreas e Produtividade'!L4</f>
        <v>0.00131552534286488</v>
      </c>
      <c r="E4" s="5">
        <f>IF(Table39[[#This Row],[Ki]]=0,0,Table39[[#This Row],[Ki]]*'ASG com Insalubridade (40%)'!$D$129)</f>
        <v>4.21358820743592</v>
      </c>
      <c r="F4" s="5">
        <v>0</v>
      </c>
      <c r="G4" s="5">
        <f>Table39[[#This Row],[Preço Homem -Mês (Servente)]]+Table39[[#This Row],[Preço Homem -Mês (Encarregado)]]</f>
        <v>4.21358820743592</v>
      </c>
      <c r="H4" s="5">
        <f>Table39[[#This Row],[Preço m²]]*Table39[[#This Row],[Quantidade]]</f>
        <v>6399.09213886879</v>
      </c>
    </row>
    <row r="5" spans="1:8">
      <c r="A5" s="3">
        <v>3</v>
      </c>
      <c r="B5" t="str">
        <f>[1]!Table328[[#This Row],[Descrição]]</f>
        <v>Laboratórios</v>
      </c>
      <c r="C5" s="4">
        <f>'Áreas e Produtividade'!C5</f>
        <v>0</v>
      </c>
      <c r="D5">
        <f>'Áreas e Produtividade'!L5</f>
        <v>0.00292338965081085</v>
      </c>
      <c r="E5" s="5">
        <v>0</v>
      </c>
      <c r="F5" s="5">
        <f>IF('[1]Tipos de Área e Produtivida'!B24=0,0,IF(Table39[[#This Row],[Ki]]=0,0,(Table39[[#This Row],[Ki]]*(1/[1]!Table328[[#Totals],[Qte ajustada]]))*[1]Encarregado!D$150))</f>
        <v>0</v>
      </c>
      <c r="G5" s="5">
        <f>Table39[[#This Row],[Preço Homem -Mês (Servente)]]+Table39[[#This Row],[Preço Homem -Mês (Encarregado)]]</f>
        <v>0</v>
      </c>
      <c r="H5" s="5">
        <f>Table39[[#This Row],[Preço m²]]*Table39[[#This Row],[Quantidade]]</f>
        <v>0</v>
      </c>
    </row>
    <row r="6" spans="1:8">
      <c r="A6" s="3">
        <v>4</v>
      </c>
      <c r="B6" t="str">
        <f>[1]!Table328[[#This Row],[Descrição]]</f>
        <v>Almoxarifados/galpões</v>
      </c>
      <c r="C6" s="4">
        <f>'Áreas e Produtividade'!C6</f>
        <v>0</v>
      </c>
      <c r="D6">
        <f>'Áreas e Produtividade'!L6</f>
        <v>0.000701613516194604</v>
      </c>
      <c r="E6" s="5">
        <v>0</v>
      </c>
      <c r="F6" s="5">
        <v>0</v>
      </c>
      <c r="G6" s="5">
        <f>Table39[[#This Row],[Preço Homem -Mês (Servente)]]+Table39[[#This Row],[Preço Homem -Mês (Encarregado)]]</f>
        <v>0</v>
      </c>
      <c r="H6" s="5">
        <f>Table39[[#This Row],[Preço m²]]*Table39[[#This Row],[Quantidade]]</f>
        <v>0</v>
      </c>
    </row>
    <row r="7" spans="1:8">
      <c r="A7" s="3">
        <v>5</v>
      </c>
      <c r="B7" t="str">
        <f>[1]!Table328[[#This Row],[Descrição]]</f>
        <v>Oficinas</v>
      </c>
      <c r="C7" s="4">
        <f>'Áreas e Produtividade'!C7</f>
        <v>0</v>
      </c>
      <c r="D7">
        <f>'Áreas e Produtividade'!L7</f>
        <v>0.000877016895243254</v>
      </c>
      <c r="E7" s="5">
        <v>0</v>
      </c>
      <c r="F7" s="5">
        <v>0</v>
      </c>
      <c r="G7" s="5">
        <f>Table39[[#This Row],[Preço Homem -Mês (Servente)]]+Table39[[#This Row],[Preço Homem -Mês (Encarregado)]]</f>
        <v>0</v>
      </c>
      <c r="H7" s="5">
        <f>Table39[[#This Row],[Preço m²]]*Table39[[#This Row],[Quantidade]]</f>
        <v>0</v>
      </c>
    </row>
    <row r="8" spans="1:8">
      <c r="A8" s="3">
        <v>6</v>
      </c>
      <c r="B8" t="str">
        <f>[1]!Table328[[#This Row],[Descrição]]</f>
        <v>Áreas com espaços livres - saguão, hall e salão</v>
      </c>
      <c r="C8" s="4">
        <f>'Áreas e Produtividade'!C8</f>
        <v>0</v>
      </c>
      <c r="D8">
        <f>'Áreas e Produtividade'!L8</f>
        <v>0.00105242027429191</v>
      </c>
      <c r="E8" s="5">
        <v>0</v>
      </c>
      <c r="F8" s="5">
        <v>0</v>
      </c>
      <c r="G8" s="5">
        <f>Table39[[#This Row],[Preço Homem -Mês (Servente)]]+Table39[[#This Row],[Preço Homem -Mês (Encarregado)]]</f>
        <v>0</v>
      </c>
      <c r="H8" s="5">
        <f>Table39[[#This Row],[Preço m²]]*Table39[[#This Row],[Quantidade]]</f>
        <v>0</v>
      </c>
    </row>
    <row r="9" spans="1:8">
      <c r="A9" s="3">
        <v>7</v>
      </c>
      <c r="B9" t="str">
        <f>[1]!Table328[[#This Row],[Descrição]]</f>
        <v>Banheiros</v>
      </c>
      <c r="C9" s="4">
        <f>'Áreas e Produtividade'!C9</f>
        <v>36</v>
      </c>
      <c r="D9">
        <f>'Áreas e Produtividade'!L9</f>
        <v>0.00526210137145953</v>
      </c>
      <c r="E9" s="5">
        <f>IF(Table39[[#This Row],[Ki]]=0,0,Table39[[#This Row],[Ki]]*'ASG com Insalubridade (40%)'!$D$129)</f>
        <v>16.8543528297437</v>
      </c>
      <c r="F9" s="5">
        <f>IF('[1]Tipos de Área e Produtivida'!B28=0,0,IF(Table39[[#This Row],[Ki]]=0,0,(Table39[[#This Row],[Ki]]*(1/[1]!Table328[[#Totals],[Qte ajustada]]))*[1]Encarregado!D$150))</f>
        <v>0</v>
      </c>
      <c r="G9" s="5">
        <f>Table39[[#This Row],[Preço Homem -Mês (Servente)]]+Table39[[#This Row],[Preço Homem -Mês (Encarregado)]]</f>
        <v>16.8543528297437</v>
      </c>
      <c r="H9" s="5">
        <f>Table39[[#This Row],[Preço m²]]*Table39[[#This Row],[Quantidade]]</f>
        <v>606.756701870774</v>
      </c>
    </row>
    <row r="10" spans="1:8">
      <c r="A10" s="3">
        <v>8</v>
      </c>
      <c r="B10" t="str">
        <f>[1]!Table328[[#This Row],[Descrição]]</f>
        <v>Pisos pavimentados adjacentes/contíguos às edificações</v>
      </c>
      <c r="C10" s="4">
        <f>'Áreas e Produtividade'!C10</f>
        <v>0</v>
      </c>
      <c r="D10">
        <f>'Áreas e Produtividade'!L10</f>
        <v>0.00058467793016217</v>
      </c>
      <c r="E10" s="5">
        <v>0</v>
      </c>
      <c r="F10" s="5">
        <f>IF('[1]Tipos de Área e Produtivida'!B29=0,0,IF(Table39[[#This Row],[Ki]]=0,0,(Table39[[#This Row],[Ki]]*(1/[1]!Table328[[#Totals],[Qte ajustada]]))*[1]Encarregado!D$150))</f>
        <v>0</v>
      </c>
      <c r="G10" s="5">
        <f>Table39[[#This Row],[Preço Homem -Mês (Servente)]]+Table39[[#This Row],[Preço Homem -Mês (Encarregado)]]</f>
        <v>0</v>
      </c>
      <c r="H10" s="5">
        <f>Table39[[#This Row],[Preço m²]]*Table39[[#This Row],[Quantidade]]</f>
        <v>0</v>
      </c>
    </row>
    <row r="11" spans="1:8">
      <c r="A11" s="3">
        <v>9</v>
      </c>
      <c r="B11" t="str">
        <f>[1]!Table328[[#This Row],[Descrição]]</f>
        <v>Varrição de passeios e arruamentos</v>
      </c>
      <c r="C11" s="4">
        <f>'Áreas e Produtividade'!C11</f>
        <v>0</v>
      </c>
      <c r="D11">
        <f>'Áreas e Produtividade'!L11</f>
        <v>0.000175403379048651</v>
      </c>
      <c r="E11" s="5">
        <v>0</v>
      </c>
      <c r="F11" s="5">
        <f>IF('[1]Tipos de Área e Produtivida'!B30=0,0,IF(Table39[[#This Row],[Ki]]=0,0,(Table39[[#This Row],[Ki]]*(1/[1]!Table328[[#Totals],[Qte ajustada]]))*[1]Encarregado!D$150))</f>
        <v>0</v>
      </c>
      <c r="G11" s="5">
        <f>Table39[[#This Row],[Preço Homem -Mês (Servente)]]+Table39[[#This Row],[Preço Homem -Mês (Encarregado)]]</f>
        <v>0</v>
      </c>
      <c r="H11" s="5">
        <f>Table39[[#This Row],[Preço m²]]*Table39[[#This Row],[Quantidade]]</f>
        <v>0</v>
      </c>
    </row>
    <row r="12" spans="1:8">
      <c r="A12" s="3">
        <v>10</v>
      </c>
      <c r="B12" t="str">
        <f>[1]!Table328[[#This Row],[Descrição]]</f>
        <v>Pátios e áreas verdes com alta frequência</v>
      </c>
      <c r="C12" s="4">
        <f>'Áreas e Produtividade'!C12</f>
        <v>0</v>
      </c>
      <c r="D12">
        <f>'Áreas e Produtividade'!L12</f>
        <v>0.00058467793016217</v>
      </c>
      <c r="E12" s="5">
        <v>0</v>
      </c>
      <c r="F12" s="5">
        <f>IF('[1]Tipos de Área e Produtivida'!B31=0,0,IF(Table39[[#This Row],[Ki]]=0,0,(Table39[[#This Row],[Ki]]*(1/[1]!Table328[[#Totals],[Qte ajustada]]))*[1]Encarregado!D$150))</f>
        <v>0</v>
      </c>
      <c r="G12" s="5">
        <f>Table39[[#This Row],[Preço Homem -Mês (Servente)]]+Table39[[#This Row],[Preço Homem -Mês (Encarregado)]]</f>
        <v>0</v>
      </c>
      <c r="H12" s="5">
        <f>Table39[[#This Row],[Preço m²]]*Table39[[#This Row],[Quantidade]]</f>
        <v>0</v>
      </c>
    </row>
    <row r="13" spans="1:8">
      <c r="A13" s="3">
        <v>11</v>
      </c>
      <c r="B13" t="str">
        <f>[1]!Table328[[#This Row],[Descrição]]</f>
        <v>Pátios e áreas verdes com média frequência</v>
      </c>
      <c r="C13" s="4">
        <f>'Áreas e Produtividade'!C13</f>
        <v>1390</v>
      </c>
      <c r="D13">
        <f>'Áreas e Produtividade'!L13</f>
        <v>0.00058467793016217</v>
      </c>
      <c r="E13" s="5">
        <f>IF(Table39[[#This Row],[Ki]]=0,0,Table39[[#This Row],[Ki]]*'ASG com Insalubridade (40%)'!$D$129)</f>
        <v>1.87270586997153</v>
      </c>
      <c r="F13" s="5">
        <f>IF('[1]Tipos de Área e Produtivida'!B32=0,0,IF(Table39[[#This Row],[Ki]]=0,0,(Table39[[#This Row],[Ki]]*(1/[1]!Table328[[#Totals],[Qte ajustada]]))*[1]Encarregado!D$150))</f>
        <v>0</v>
      </c>
      <c r="G13" s="5">
        <f>Table39[[#This Row],[Preço Homem -Mês (Servente)]]+Table39[[#This Row],[Preço Homem -Mês (Encarregado)]]</f>
        <v>1.87270586997153</v>
      </c>
      <c r="H13" s="5">
        <f>Table39[[#This Row],[Preço m²]]*Table39[[#This Row],[Quantidade]]</f>
        <v>2603.06115926042</v>
      </c>
    </row>
    <row r="14" spans="1:8">
      <c r="A14" s="3">
        <v>12</v>
      </c>
      <c r="B14" t="str">
        <f>[1]!Table328[[#This Row],[Descrição]]</f>
        <v>Pátios e áreas verdes com baixa frequência</v>
      </c>
      <c r="C14" s="4">
        <f>'Áreas e Produtividade'!C14</f>
        <v>0</v>
      </c>
      <c r="D14">
        <f>'Áreas e Produtividade'!L14</f>
        <v>0.00058467793016217</v>
      </c>
      <c r="E14" s="5">
        <v>0</v>
      </c>
      <c r="F14" s="5">
        <f>IF('[1]Tipos de Área e Produtivida'!B33=0,0,IF(Table39[[#This Row],[Ki]]=0,0,(Table39[[#This Row],[Ki]]*(1/[1]!Table328[[#Totals],[Qte ajustada]]))*[1]Encarregado!D$150))</f>
        <v>0</v>
      </c>
      <c r="G14" s="5">
        <f>Table39[[#This Row],[Preço Homem -Mês (Servente)]]+Table39[[#This Row],[Preço Homem -Mês (Encarregado)]]</f>
        <v>0</v>
      </c>
      <c r="H14" s="5">
        <f>Table39[[#This Row],[Preço m²]]*Table39[[#This Row],[Quantidade]]</f>
        <v>0</v>
      </c>
    </row>
    <row r="15" spans="1:8">
      <c r="A15" s="3">
        <v>13</v>
      </c>
      <c r="B15" t="str">
        <f>[1]!Table328[[#This Row],[Descrição]]</f>
        <v>Coleta de detritos em pátios e áreas verdes com frequência diária</v>
      </c>
      <c r="C15" s="4">
        <f>'Áreas e Produtividade'!C15</f>
        <v>0</v>
      </c>
      <c r="D15">
        <f>'Áreas e Produtividade'!L15</f>
        <v>1.05242027429191e-5</v>
      </c>
      <c r="E15" s="5">
        <v>0</v>
      </c>
      <c r="F15" s="5">
        <f>IF('[1]Tipos de Área e Produtivida'!B34=0,0,IF(Table39[[#This Row],[Ki]]=0,0,(Table39[[#This Row],[Ki]]*(1/[1]!Table328[[#Totals],[Qte ajustada]]))*[1]Encarregado!D$150))</f>
        <v>0</v>
      </c>
      <c r="G15" s="5">
        <f>Table39[[#This Row],[Preço Homem -Mês (Servente)]]+Table39[[#This Row],[Preço Homem -Mês (Encarregado)]]</f>
        <v>0</v>
      </c>
      <c r="H15" s="5">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0.000686208143375817</v>
      </c>
      <c r="E16" s="5">
        <v>0</v>
      </c>
      <c r="F16" s="5">
        <f>IF('[1]Tipos de Área e Produtivida'!B35=0,0,IF(Table39[[#This Row],[Ki]]=0,0,(Table39[[#This Row],[Ki]]*(1/[1]!Table328[[#Totals],[Qte ajustada]]))*[1]Encarregado!D$150))</f>
        <v>0</v>
      </c>
      <c r="G16" s="5">
        <f>Table39[[#This Row],[Preço Homem -Mês (Servente)]]+Table39[[#This Row],[Preço Homem -Mês (Encarregado)]]</f>
        <v>0</v>
      </c>
      <c r="H16" s="5">
        <f>Table39[[#This Row],[Preço m²]]*Table39[[#This Row],[Quantidade]]</f>
        <v>0</v>
      </c>
    </row>
    <row r="17" spans="1:8">
      <c r="A17" s="3">
        <v>15</v>
      </c>
      <c r="B17" t="str">
        <f>[1]!Table328[[#This Row],[Descrição]]</f>
        <v>Face externa sem exposição a situação de risco</v>
      </c>
      <c r="C17" s="4">
        <f>'Áreas e Produtividade'!C17</f>
        <v>0</v>
      </c>
      <c r="D17">
        <f>'Áreas e Produtividade'!L17</f>
        <v>0.000297356862129521</v>
      </c>
      <c r="E17" s="5">
        <v>0</v>
      </c>
      <c r="F17" s="5">
        <f>IF('[1]Tipos de Área e Produtivida'!B36=0,0,IF(Table39[[#This Row],[Ki]]=0,0,(Table39[[#This Row],[Ki]]*(1/[1]!Table328[[#Totals],[Qte ajustada]]))*[1]Encarregado!D$150))</f>
        <v>0</v>
      </c>
      <c r="G17" s="5">
        <f>Table39[[#This Row],[Preço Homem -Mês (Servente)]]+Table39[[#This Row],[Preço Homem -Mês (Encarregado)]]</f>
        <v>0</v>
      </c>
      <c r="H17" s="5">
        <f>Table39[[#This Row],[Preço m²]]*Table39[[#This Row],[Quantidade]]</f>
        <v>0</v>
      </c>
    </row>
    <row r="18" spans="1:8">
      <c r="A18" s="3">
        <v>16</v>
      </c>
      <c r="B18" t="str">
        <f>[1]!Table328[[#This Row],[Descrição]]</f>
        <v>Face interna</v>
      </c>
      <c r="C18" s="4">
        <f>'Áreas e Produtividade'!C18</f>
        <v>0</v>
      </c>
      <c r="D18">
        <f>'Áreas e Produtividade'!L18</f>
        <v>0.000297356862129521</v>
      </c>
      <c r="E18" s="5">
        <v>0</v>
      </c>
      <c r="F18" s="5">
        <f>IF('[1]Tipos de Área e Produtivida'!B37=0,0,IF(Table39[[#This Row],[Ki]]=0,0,(Table39[[#This Row],[Ki]]*(1/[1]!Table328[[#Totals],[Qte ajustada]]))*[1]Encarregado!D$150))</f>
        <v>0</v>
      </c>
      <c r="G18" s="5">
        <f>Table39[[#This Row],[Preço Homem -Mês (Servente)]]+Table39[[#This Row],[Preço Homem -Mês (Encarregado)]]</f>
        <v>0</v>
      </c>
      <c r="H18" s="5">
        <f>Table39[[#This Row],[Preço m²]]*Table39[[#This Row],[Quantidade]]</f>
        <v>0</v>
      </c>
    </row>
    <row r="19" spans="1:8">
      <c r="A19" s="3">
        <v>17</v>
      </c>
      <c r="B19" t="str">
        <f>[1]!Table328[[#This Row],[Descrição]]</f>
        <v>Fachadas Envidraçadas</v>
      </c>
      <c r="C19" s="4">
        <f>'Áreas e Produtividade'!C19</f>
        <v>0</v>
      </c>
      <c r="D19">
        <f>'Áreas e Produtividade'!L19</f>
        <v>5.71819923819615e-5</v>
      </c>
      <c r="E19" s="5">
        <v>0</v>
      </c>
      <c r="F19" s="5">
        <f>IF('[1]Tipos de Área e Produtivida'!B38=0,0,IF(Table39[[#This Row],[Ki]]=0,0,(Table39[[#This Row],[Ki]]*(1/[1]!Table328[[#Totals],[Qte ajustada]]))*[1]Encarregado!D$150))</f>
        <v>0</v>
      </c>
      <c r="G19" s="5">
        <f>Table39[[#This Row],[Preço Homem -Mês (Servente)]]+Table39[[#This Row],[Preço Homem -Mês (Encarregado)]]</f>
        <v>0</v>
      </c>
      <c r="H19" s="5">
        <f>Table39[[#This Row],[Preço m²]]*Table39[[#This Row],[Quantidade]]</f>
        <v>0</v>
      </c>
    </row>
    <row r="20" spans="1:8">
      <c r="A20" s="3">
        <v>18</v>
      </c>
      <c r="B20" t="str">
        <f>[1]!Table328[[#This Row],[Descrição]]</f>
        <v>Áreas Hospitalares e Assemelhadas</v>
      </c>
      <c r="C20" s="4">
        <f>'Áreas e Produtividade'!C20</f>
        <v>0</v>
      </c>
      <c r="D20">
        <f>'Áreas e Produtividade'!L20</f>
        <v>0.00292338965081085</v>
      </c>
      <c r="E20" s="5">
        <v>0</v>
      </c>
      <c r="F20" s="5">
        <f>IF('[1]Tipos de Área e Produtivida'!B39=0,0,IF(Table39[[#This Row],[Ki]]=0,0,(Table39[[#This Row],[Ki]]*(1/[1]!Table328[[#Totals],[Qte ajustada]]))*[1]Encarregado!D$150))</f>
        <v>0</v>
      </c>
      <c r="G20" s="5">
        <f>Table39[[#This Row],[Preço Homem -Mês (Servente)]]+Table39[[#This Row],[Preço Homem -Mês (Encarregado)]]</f>
        <v>0</v>
      </c>
      <c r="H20" s="5">
        <f>Table39[[#This Row],[Preço m²]]*Table39[[#This Row],[Quantidade]]</f>
        <v>0</v>
      </c>
    </row>
    <row r="21" spans="1:8">
      <c r="A21" t="s">
        <v>44</v>
      </c>
      <c r="E21" s="4"/>
      <c r="F21" s="4"/>
      <c r="G21" s="4"/>
      <c r="H21" s="5">
        <f>SUBTOTAL(109,Table39[Subtotal])</f>
        <v>9608.90999999999</v>
      </c>
    </row>
    <row r="22" spans="1:8">
      <c r="A22" s="6" t="s">
        <v>353</v>
      </c>
      <c r="B22" s="6"/>
      <c r="C22" s="6"/>
      <c r="D22" s="6"/>
      <c r="E22" s="6"/>
      <c r="F22" s="6"/>
      <c r="G22" s="6"/>
      <c r="H22" s="6"/>
    </row>
    <row r="23" spans="1:8">
      <c r="A23" s="7" t="s">
        <v>354</v>
      </c>
      <c r="B23" s="7"/>
      <c r="C23" s="7"/>
      <c r="D23" s="7"/>
      <c r="E23" s="7"/>
      <c r="F23" s="7"/>
      <c r="G23" s="7"/>
      <c r="H23" s="7"/>
    </row>
    <row r="24" spans="1:8">
      <c r="A24" s="6" t="s">
        <v>355</v>
      </c>
      <c r="B24" s="6"/>
      <c r="C24" s="6"/>
      <c r="D24" s="6"/>
      <c r="E24" s="6"/>
      <c r="F24" s="6"/>
      <c r="G24" s="6"/>
      <c r="H24" s="6"/>
    </row>
    <row r="25" spans="1:8">
      <c r="A25" s="6"/>
      <c r="B25" s="6"/>
      <c r="C25" s="6"/>
      <c r="D25" s="6"/>
      <c r="E25" s="6"/>
      <c r="F25" s="6"/>
      <c r="G25" s="6"/>
      <c r="H25" s="6"/>
    </row>
    <row r="26" spans="1:8">
      <c r="A26" s="3" t="s">
        <v>2</v>
      </c>
      <c r="B26" t="s">
        <v>3</v>
      </c>
      <c r="C26" s="3" t="s">
        <v>356</v>
      </c>
      <c r="D26" s="3" t="s">
        <v>357</v>
      </c>
      <c r="E26" s="3" t="s">
        <v>314</v>
      </c>
      <c r="F26" s="3" t="s">
        <v>358</v>
      </c>
      <c r="G26" s="3" t="s">
        <v>359</v>
      </c>
      <c r="H26" s="3" t="s">
        <v>360</v>
      </c>
    </row>
    <row r="27" ht="49" customHeight="1" spans="1:8">
      <c r="A27" s="4">
        <v>1</v>
      </c>
      <c r="B27" s="8" t="s">
        <v>361</v>
      </c>
      <c r="C27" s="4"/>
      <c r="D27" s="4" t="s">
        <v>362</v>
      </c>
      <c r="E27" s="4">
        <v>1</v>
      </c>
      <c r="F27" s="4" t="s">
        <v>363</v>
      </c>
      <c r="G27" s="5">
        <f>Table39[[#Totals],[Subtotal]]</f>
        <v>9608.90999999999</v>
      </c>
      <c r="H27" s="5">
        <f>TRUNC(G27*12,2)</f>
        <v>115306.92</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8</vt:i4>
      </vt:variant>
    </vt:vector>
  </HeadingPairs>
  <TitlesOfParts>
    <vt:vector size="8" baseType="lpstr">
      <vt:lpstr>Servente</vt:lpstr>
      <vt:lpstr>Encarregado</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2020-11-09T14:26:42Z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